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23970" windowHeight="5565" activeTab="2"/>
  </bookViews>
  <sheets>
    <sheet name="титул" sheetId="1" r:id="rId1"/>
    <sheet name="передача Северк" sheetId="2" r:id="rId2"/>
    <sheet name="цены Северск " sheetId="3" r:id="rId3"/>
    <sheet name="передача Самусь" sheetId="4" r:id="rId4"/>
    <sheet name="цены Самусь" sheetId="5" r:id="rId5"/>
  </sheets>
  <definedNames>
    <definedName name="TABLE" localSheetId="3">'передача Самусь'!$A$7:$F$52</definedName>
    <definedName name="TABLE" localSheetId="1">'передача Северк'!$A$7:$F$52</definedName>
    <definedName name="TABLE" localSheetId="4">'цены Самусь'!$A$8:$G$54</definedName>
    <definedName name="TABLE" localSheetId="2">'цены Северск '!$A$8:$G$61</definedName>
    <definedName name="_xlnm.Print_Titles" localSheetId="3">'передача Самусь'!$7:$7</definedName>
    <definedName name="_xlnm.Print_Titles" localSheetId="1">'передача Северк'!$7:$7</definedName>
    <definedName name="_xlnm.Print_Titles" localSheetId="4">'цены Самусь'!$8:$9</definedName>
    <definedName name="_xlnm.Print_Titles" localSheetId="2">'цены Северск '!$8:$9</definedName>
    <definedName name="_xlnm.Print_Area" localSheetId="3">'передача Самусь'!$A$1:$F$56</definedName>
    <definedName name="_xlnm.Print_Area" localSheetId="1">'передача Северк'!$A$1:$F$56</definedName>
    <definedName name="_xlnm.Print_Area" localSheetId="4">'цены Самусь'!$A$1:$K$28</definedName>
    <definedName name="_xlnm.Print_Area" localSheetId="2">'цены Северск '!$A$1:$K$31</definedName>
  </definedNames>
  <calcPr fullCalcOnLoad="1"/>
</workbook>
</file>

<file path=xl/comments2.xml><?xml version="1.0" encoding="utf-8"?>
<comments xmlns="http://schemas.openxmlformats.org/spreadsheetml/2006/main">
  <authors>
    <author>Kopylova</author>
  </authors>
  <commentList>
    <comment ref="D10" authorId="0">
      <text>
        <r>
          <rPr>
            <b/>
            <sz val="8"/>
            <rFont val="Tahoma"/>
            <family val="0"/>
          </rPr>
          <t>Kopylova:</t>
        </r>
        <r>
          <rPr>
            <sz val="8"/>
            <rFont val="Tahoma"/>
            <family val="0"/>
          </rPr>
          <t xml:space="preserve">
с учетом потерь и услуг по передаче УЭС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Kopylova 
</t>
        </r>
        <r>
          <rPr>
            <sz val="8"/>
            <rFont val="Tahoma"/>
            <family val="2"/>
          </rPr>
          <t>с отчислениями на социальные нужды</t>
        </r>
      </text>
    </comment>
    <comment ref="D39" authorId="0">
      <text>
        <r>
          <rPr>
            <b/>
            <sz val="8"/>
            <rFont val="Tahoma"/>
            <family val="0"/>
          </rPr>
          <t>Kopylova:</t>
        </r>
        <r>
          <rPr>
            <sz val="8"/>
            <rFont val="Tahoma"/>
            <family val="0"/>
          </rPr>
          <t xml:space="preserve">
Самусь плюс Северск
</t>
        </r>
      </text>
    </comment>
    <comment ref="D41" authorId="0">
      <text>
        <r>
          <rPr>
            <b/>
            <sz val="8"/>
            <rFont val="Tahoma"/>
            <family val="0"/>
          </rPr>
          <t>Kopylova:</t>
        </r>
        <r>
          <rPr>
            <sz val="8"/>
            <rFont val="Tahoma"/>
            <family val="0"/>
          </rPr>
          <t xml:space="preserve">
счет 08</t>
        </r>
      </text>
    </comment>
  </commentList>
</comments>
</file>

<file path=xl/comments3.xml><?xml version="1.0" encoding="utf-8"?>
<comments xmlns="http://schemas.openxmlformats.org/spreadsheetml/2006/main">
  <authors>
    <author>Kopylova</author>
  </authors>
  <commentList>
    <comment ref="D26" authorId="0">
      <text>
        <r>
          <rPr>
            <b/>
            <sz val="8"/>
            <rFont val="Tahoma"/>
            <family val="0"/>
          </rPr>
          <t>Kopylova:</t>
        </r>
        <r>
          <rPr>
            <sz val="8"/>
            <rFont val="Tahoma"/>
            <family val="0"/>
          </rPr>
          <t xml:space="preserve">
из отчета</t>
        </r>
      </text>
    </comment>
    <comment ref="I26" authorId="0">
      <text>
        <r>
          <rPr>
            <b/>
            <sz val="8"/>
            <rFont val="Tahoma"/>
            <family val="0"/>
          </rPr>
          <t>Kopylova:</t>
        </r>
        <r>
          <rPr>
            <sz val="8"/>
            <rFont val="Tahoma"/>
            <family val="0"/>
          </rPr>
          <t xml:space="preserve">
расчет Филатова</t>
        </r>
      </text>
    </comment>
    <comment ref="G22" authorId="0">
      <text>
        <r>
          <rPr>
            <b/>
            <sz val="8"/>
            <rFont val="Tahoma"/>
            <family val="0"/>
          </rPr>
          <t>Kopylova:</t>
        </r>
        <r>
          <rPr>
            <sz val="8"/>
            <rFont val="Tahoma"/>
            <family val="0"/>
          </rPr>
          <t xml:space="preserve">
из расчета сбытовой</t>
        </r>
      </text>
    </comment>
    <comment ref="G30" authorId="0">
      <text>
        <r>
          <rPr>
            <b/>
            <sz val="8"/>
            <rFont val="Tahoma"/>
            <family val="0"/>
          </rPr>
          <t>Kopylova:</t>
        </r>
        <r>
          <rPr>
            <sz val="8"/>
            <rFont val="Tahoma"/>
            <family val="0"/>
          </rPr>
          <t xml:space="preserve">
баланс электросети</t>
        </r>
      </text>
    </comment>
  </commentList>
</comments>
</file>

<file path=xl/comments4.xml><?xml version="1.0" encoding="utf-8"?>
<comments xmlns="http://schemas.openxmlformats.org/spreadsheetml/2006/main">
  <authors>
    <author>Kopylova</author>
  </authors>
  <commentList>
    <comment ref="D28" authorId="0">
      <text>
        <r>
          <rPr>
            <b/>
            <sz val="8"/>
            <rFont val="Tahoma"/>
            <family val="0"/>
          </rPr>
          <t xml:space="preserve">Kopylova 
</t>
        </r>
        <r>
          <rPr>
            <sz val="8"/>
            <rFont val="Tahoma"/>
            <family val="2"/>
          </rPr>
          <t>с отчислениями на социальные нужды</t>
        </r>
      </text>
    </comment>
    <comment ref="D39" authorId="0">
      <text>
        <r>
          <rPr>
            <b/>
            <sz val="8"/>
            <rFont val="Tahoma"/>
            <family val="0"/>
          </rPr>
          <t>Kopylova:</t>
        </r>
        <r>
          <rPr>
            <sz val="8"/>
            <rFont val="Tahoma"/>
            <family val="0"/>
          </rPr>
          <t xml:space="preserve">
Самусь плюс Северск
</t>
        </r>
      </text>
    </comment>
  </commentList>
</comments>
</file>

<file path=xl/sharedStrings.xml><?xml version="1.0" encoding="utf-8"?>
<sst xmlns="http://schemas.openxmlformats.org/spreadsheetml/2006/main" count="502" uniqueCount="195">
  <si>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</si>
  <si>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</si>
  <si>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</si>
  <si>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</si>
  <si>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</si>
  <si>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</si>
  <si>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</si>
  <si>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</si>
  <si>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</si>
  <si>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</si>
  <si>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</si>
  <si>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</si>
  <si>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</si>
  <si>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</si>
  <si>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</si>
  <si>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</si>
  <si>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</si>
  <si>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</si>
  <si>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</si>
  <si>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</si>
  <si>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</si>
  <si>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</si>
  <si>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</si>
  <si>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</si>
  <si>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</si>
  <si>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</si>
  <si>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</si>
  <si>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</si>
  <si>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</si>
  <si>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</si>
  <si>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</si>
  <si>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</si>
  <si>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</si>
  <si>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</si>
  <si>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</si>
  <si>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</si>
  <si>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</si>
  <si>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</si>
  <si>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</si>
  <si>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</si>
  <si>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</si>
  <si>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</si>
  <si>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</si>
  <si>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</si>
  <si>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</si>
  <si>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</si>
  <si>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</si>
  <si>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</si>
  <si>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</si>
  <si>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</si>
  <si>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</si>
  <si>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</si>
  <si>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</si>
  <si>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</si>
  <si>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</si>
  <si>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</si>
  <si>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</si>
  <si>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</si>
  <si>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</si>
  <si>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</si>
  <si>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</si>
  <si>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</si>
  <si>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</si>
  <si>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</si>
  <si>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</si>
  <si>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</si>
  <si>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</si>
  <si>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</si>
  <si>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</si>
  <si>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</si>
  <si>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</si>
  <si>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</si>
  <si>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</si>
  <si>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</si>
  <si>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</si>
  <si>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</si>
  <si>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</si>
  <si>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</si>
  <si>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</si>
  <si>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</si>
  <si>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</si>
  <si>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</si>
  <si>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</si>
  <si>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</si>
  <si>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</si>
  <si>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</si>
  <si>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</si>
  <si>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</si>
  <si>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</si>
  <si>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</si>
  <si>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</si>
  <si>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</si>
  <si>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Приложение № 1 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</si>
  <si>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</si>
  <si>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</si>
  <si>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</si>
  <si>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</si>
  <si>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</si>
  <si>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</si>
  <si>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</si>
  <si>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</si>
  <si>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</si>
  <si>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</si>
  <si>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руб./МВт в мес.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</si>
  <si>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</si>
  <si>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</si>
  <si>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</si>
  <si>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</si>
  <si>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</si>
  <si>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</si>
  <si>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</si>
  <si>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</si>
  <si>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</si>
  <si>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</si>
  <si>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</si>
  <si>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</si>
  <si>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</si>
  <si>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</si>
  <si>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</si>
  <si>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</si>
  <si>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</si>
  <si>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</si>
  <si>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</si>
  <si>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</si>
  <si>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</si>
  <si>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</si>
  <si>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</si>
  <si>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</si>
  <si>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</si>
  <si>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</si>
  <si>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</si>
  <si>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</si>
  <si>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</si>
  <si>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</si>
  <si>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</si>
  <si>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</si>
  <si>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</si>
  <si>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</si>
  <si>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</si>
  <si>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</si>
  <si>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</si>
  <si>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</si>
  <si>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r>
      <t>1,2 - 2,5 кг/см</t>
    </r>
    <r>
      <rPr>
        <vertAlign val="superscript"/>
        <sz val="11"/>
        <color indexed="8"/>
        <rFont val="Times New Roman"/>
        <family val="1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</si>
  <si>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</si>
  <si>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</si>
  <si>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</si>
  <si>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</si>
  <si>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Общество с ограниченной ответственностью "Электросети"</t>
  </si>
  <si>
    <t xml:space="preserve">ООО «Электросети» </t>
  </si>
  <si>
    <t>636071, Томская область, г. Северск, ул.Мира, д.18 «б»,стр.4</t>
  </si>
  <si>
    <t>Макаренко Виталий Алексеевич</t>
  </si>
  <si>
    <t xml:space="preserve"> 8 3823 77 49 86</t>
  </si>
  <si>
    <t>ges@seversk.ru</t>
  </si>
  <si>
    <t xml:space="preserve">расходов на финансирование капитальных вложений, </t>
  </si>
  <si>
    <t xml:space="preserve">расходов, связанных с арендой имущества, используемого для осуществления регулируемой деятельности, лизинговых платежей, </t>
  </si>
  <si>
    <t xml:space="preserve">расходов на оплату услуг (продукции), оказываемых организациями, осуществляющими регулируемую деятельность, </t>
  </si>
  <si>
    <t xml:space="preserve">расходов на амортизацию основных средств и нематериальных активов, </t>
  </si>
  <si>
    <t>расходов на оплату нормативных технологических потерь в сетях;</t>
  </si>
  <si>
    <t>налогов и сборов, предусмотренных законодательством Российской Федерации о налогах и сборах</t>
  </si>
  <si>
    <t xml:space="preserve">расходов на возврат и обслуживание заемных средств, в том числе направленных на финансирование капитальных вложений, 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</si>
  <si>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</t>
    </r>
    <r>
      <rPr>
        <b/>
        <sz val="12"/>
        <rFont val="Times New Roman"/>
        <family val="1"/>
      </rPr>
      <t xml:space="preserve">подконтрольные расходы 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- всего</t>
    </r>
  </si>
  <si>
    <t>за исключением</t>
  </si>
  <si>
    <t>Отраслевое тарифное соглашение в жилищно-коммунальном хозяйстве Российской Федерации на 2014-2016 годы. Регистрационный № 230/14-16 от 01.10.2013. Срок действия 2014-2016 гг.</t>
  </si>
  <si>
    <t xml:space="preserve">Отраслевое тарифное соглашение в жилищно-коммунальном хозяйстве Российской Федерации на 2008 - 2010 годы.  № 01/68-В 19.02.2010
Утверждено Росстроем 02.07.2007. Срок действия   2008-2014 гг.
</t>
  </si>
  <si>
    <t>Приказ Департамента тарифного регулирования Томской области от 18.08.2014 № 19/142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</si>
  <si>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</si>
  <si>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</t>
  </si>
  <si>
    <t>не утверждалась</t>
  </si>
  <si>
    <t>стоимость</t>
  </si>
  <si>
    <t>количество</t>
  </si>
  <si>
    <t xml:space="preserve">Приказ Департамента тарифного регулирования и государственного заказа Томской области от 21.12.2012 № 47/684 "Об утверждении значений целевых показателей энергосбережения и повышения энергетической эффективности для территориальных сетевых организаций Томской области до 2015 года"
</t>
  </si>
  <si>
    <t xml:space="preserve">Приказ Департамента тарифного регулирования Томской области от 28.03.2014 № 8/59 "Об установлении целевых показателей энергосбережения и повышения энергетической эффективности для территориальных сетевых организаций"
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</si>
  <si>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</si>
  <si>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3.4.</t>
  </si>
  <si>
    <t xml:space="preserve">Всего себестоимость товарной продукции </t>
  </si>
  <si>
    <t>НВВ</t>
  </si>
  <si>
    <t>Проверка</t>
  </si>
  <si>
    <t xml:space="preserve">9,24% сети г.Северск утверждены Приказом Минэнерго России от 04.09.2012
№ 421 «Об утверждении нормативов технологических потерь электрической энергии при ее передаче по электрическим сетям на 2013 год».
</t>
  </si>
  <si>
    <t xml:space="preserve">9,24% сети г.Северск утверждены Приказом Минэнерго России от 26.09.2013
№ 665 «Об утверждении нормативов технологических потерь электрической энергии при ее передаче по электрическим сетям на 2014 год».
</t>
  </si>
  <si>
    <t xml:space="preserve">9,23% сети г.Северск, утверждены Приказом Минэнерго России от 22.07.2014
№ 449 «Об утверждении нормативов технологических потерь электрической энергии при ее передаче по электрическим сетям на 2015 год».
</t>
  </si>
  <si>
    <t>год</t>
  </si>
  <si>
    <t xml:space="preserve">7,85 % - сети п.Самусь утверждены Приказом Минэнерго России от 04.09.2012
№ 421 «Об утверждении нормативов технологических потерь электрической энергии при ее передаче по электрическим сетям на 2013 год».
</t>
  </si>
  <si>
    <t xml:space="preserve"> 7,85 % - сети п.Самусь утверждены Приказом Минэнерго России от 26.09.2013
№ 665 «Об утверждении нормативов технологических потерь электрической энергии при ее передаче по электрическим сетям на 2014 год».
</t>
  </si>
  <si>
    <t xml:space="preserve">7,82 % - сети п.Самусь утверждены Приказом Минэнерго России от 22.07.2014
№ 449 «Об утверждении нормативов технологических потерь электрической энергии при ее передаче по электрическим сетям на 2015 год».
</t>
  </si>
  <si>
    <t>получено в сеть</t>
  </si>
  <si>
    <t>в т.ч. На покупку потерь</t>
  </si>
  <si>
    <t>на содержание</t>
  </si>
  <si>
    <t>на содержание смежных сетей</t>
  </si>
  <si>
    <t xml:space="preserve">на содержание ООО «Электросети» </t>
  </si>
  <si>
    <t xml:space="preserve">поступление в сеть ООО «Электросети» </t>
  </si>
  <si>
    <t>потери</t>
  </si>
  <si>
    <t>руб./кВт·ч</t>
  </si>
  <si>
    <t>кВт·ч</t>
  </si>
  <si>
    <t xml:space="preserve">тариф на электрическую энергию в целях компенсации потерь в сетях
</t>
  </si>
  <si>
    <t>Котловой тариф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</si>
</sst>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  <numFmt numFmtId="172" formatCode="0.0000000"/>
    <numFmt numFmtId="173" formatCode="0.00000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_р_._-;\-* #,##0.0_р_._-;_-* &quot;-&quot;?_р_._-;_-@_-"/>
    <numFmt numFmtId="179" formatCode="#,##0.00000"/>
    <numFmt numFmtId="180" formatCode="#,##0.0000"/>
    <numFmt numFmtId="181" formatCode="#,##0.000"/>
  </numFmts>
  <fonts count="37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Helv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justify"/>
    </xf>
    <xf numFmtId="0" fontId="7" fillId="0" borderId="0" xfId="0" applyFont="1" applyAlignment="1">
      <alignment/>
    </xf>
    <xf numFmtId="0" fontId="26" fillId="0" borderId="10" xfId="53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top"/>
    </xf>
    <xf numFmtId="0" fontId="26" fillId="0" borderId="10" xfId="53" applyFont="1" applyBorder="1" applyAlignment="1">
      <alignment horizontal="center" vertical="top" wrapText="1"/>
      <protection/>
    </xf>
    <xf numFmtId="0" fontId="26" fillId="0" borderId="10" xfId="53" applyFont="1" applyBorder="1" applyAlignment="1">
      <alignment horizontal="left" vertical="top" wrapText="1"/>
      <protection/>
    </xf>
    <xf numFmtId="0" fontId="26" fillId="0" borderId="10" xfId="53" applyFont="1" applyBorder="1" applyAlignment="1">
      <alignment horizontal="center" vertical="top"/>
      <protection/>
    </xf>
    <xf numFmtId="0" fontId="7" fillId="0" borderId="0" xfId="0" applyFont="1" applyAlignment="1">
      <alignment horizontal="center"/>
    </xf>
    <xf numFmtId="0" fontId="26" fillId="0" borderId="11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NumberFormat="1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9" fontId="1" fillId="24" borderId="10" xfId="58" applyFont="1" applyFill="1" applyBorder="1" applyAlignment="1">
      <alignment horizontal="center" vertical="top"/>
    </xf>
    <xf numFmtId="0" fontId="27" fillId="0" borderId="10" xfId="0" applyFont="1" applyBorder="1" applyAlignment="1">
      <alignment vertical="top"/>
    </xf>
    <xf numFmtId="0" fontId="26" fillId="4" borderId="10" xfId="53" applyFont="1" applyFill="1" applyBorder="1" applyAlignment="1">
      <alignment horizontal="center" vertical="top"/>
      <protection/>
    </xf>
    <xf numFmtId="9" fontId="26" fillId="4" borderId="10" xfId="58" applyFont="1" applyFill="1" applyBorder="1" applyAlignment="1">
      <alignment horizontal="center" vertical="top"/>
    </xf>
    <xf numFmtId="1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169" fontId="1" fillId="4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/>
    </xf>
    <xf numFmtId="175" fontId="1" fillId="0" borderId="10" xfId="61" applyNumberFormat="1" applyFont="1" applyBorder="1" applyAlignment="1">
      <alignment horizontal="center" vertical="top"/>
    </xf>
    <xf numFmtId="175" fontId="1" fillId="0" borderId="10" xfId="61" applyNumberFormat="1" applyFont="1" applyBorder="1" applyAlignment="1">
      <alignment horizontal="center"/>
    </xf>
    <xf numFmtId="175" fontId="1" fillId="4" borderId="10" xfId="61" applyNumberFormat="1" applyFont="1" applyFill="1" applyBorder="1" applyAlignment="1">
      <alignment horizontal="center" vertical="top"/>
    </xf>
    <xf numFmtId="169" fontId="1" fillId="0" borderId="10" xfId="0" applyNumberFormat="1" applyFont="1" applyFill="1" applyBorder="1" applyAlignment="1">
      <alignment horizontal="center" vertical="top"/>
    </xf>
    <xf numFmtId="170" fontId="1" fillId="4" borderId="10" xfId="0" applyNumberFormat="1" applyFont="1" applyFill="1" applyBorder="1" applyAlignment="1">
      <alignment horizontal="center" vertical="top"/>
    </xf>
    <xf numFmtId="1" fontId="1" fillId="25" borderId="10" xfId="0" applyNumberFormat="1" applyFont="1" applyFill="1" applyBorder="1" applyAlignment="1">
      <alignment horizontal="center" vertical="top"/>
    </xf>
    <xf numFmtId="2" fontId="1" fillId="4" borderId="10" xfId="0" applyNumberFormat="1" applyFont="1" applyFill="1" applyBorder="1" applyAlignment="1">
      <alignment horizontal="center" vertical="top"/>
    </xf>
    <xf numFmtId="168" fontId="26" fillId="25" borderId="10" xfId="53" applyNumberFormat="1" applyFont="1" applyFill="1" applyBorder="1" applyAlignment="1">
      <alignment horizontal="center" vertical="top"/>
      <protection/>
    </xf>
    <xf numFmtId="0" fontId="26" fillId="25" borderId="10" xfId="53" applyFont="1" applyFill="1" applyBorder="1" applyAlignment="1">
      <alignment horizontal="center" vertical="top"/>
      <protection/>
    </xf>
    <xf numFmtId="2" fontId="26" fillId="25" borderId="10" xfId="53" applyNumberFormat="1" applyFont="1" applyFill="1" applyBorder="1" applyAlignment="1">
      <alignment horizontal="center" vertical="top"/>
      <protection/>
    </xf>
    <xf numFmtId="9" fontId="26" fillId="25" borderId="10" xfId="58" applyFont="1" applyFill="1" applyBorder="1" applyAlignment="1">
      <alignment horizontal="center" vertical="top"/>
    </xf>
    <xf numFmtId="2" fontId="27" fillId="0" borderId="10" xfId="0" applyNumberFormat="1" applyFont="1" applyBorder="1" applyAlignment="1">
      <alignment vertical="top"/>
    </xf>
    <xf numFmtId="2" fontId="26" fillId="0" borderId="10" xfId="53" applyNumberFormat="1" applyFont="1" applyBorder="1" applyAlignment="1">
      <alignment horizontal="center" vertical="top"/>
      <protection/>
    </xf>
    <xf numFmtId="0" fontId="27" fillId="0" borderId="10" xfId="0" applyFont="1" applyBorder="1" applyAlignment="1">
      <alignment horizontal="center" vertical="center" wrapText="1"/>
    </xf>
    <xf numFmtId="175" fontId="26" fillId="0" borderId="10" xfId="61" applyNumberFormat="1" applyFont="1" applyBorder="1" applyAlignment="1">
      <alignment horizontal="center" vertical="top"/>
    </xf>
    <xf numFmtId="175" fontId="27" fillId="0" borderId="10" xfId="61" applyNumberFormat="1" applyFont="1" applyBorder="1" applyAlignment="1">
      <alignment vertical="top"/>
    </xf>
    <xf numFmtId="175" fontId="26" fillId="4" borderId="10" xfId="61" applyNumberFormat="1" applyFont="1" applyFill="1" applyBorder="1" applyAlignment="1">
      <alignment horizontal="center" vertical="top"/>
    </xf>
    <xf numFmtId="175" fontId="27" fillId="22" borderId="10" xfId="61" applyNumberFormat="1" applyFont="1" applyFill="1" applyBorder="1" applyAlignment="1">
      <alignment horizontal="center" vertical="top"/>
    </xf>
    <xf numFmtId="175" fontId="26" fillId="0" borderId="10" xfId="61" applyNumberFormat="1" applyFont="1" applyFill="1" applyBorder="1" applyAlignment="1">
      <alignment horizontal="center" vertical="top"/>
    </xf>
    <xf numFmtId="175" fontId="27" fillId="4" borderId="10" xfId="61" applyNumberFormat="1" applyFont="1" applyFill="1" applyBorder="1" applyAlignment="1">
      <alignment vertical="top"/>
    </xf>
    <xf numFmtId="175" fontId="26" fillId="0" borderId="10" xfId="53" applyNumberFormat="1" applyFont="1" applyBorder="1" applyAlignment="1">
      <alignment horizontal="center" vertical="top"/>
      <protection/>
    </xf>
    <xf numFmtId="43" fontId="27" fillId="0" borderId="10" xfId="0" applyNumberFormat="1" applyFont="1" applyBorder="1" applyAlignment="1">
      <alignment vertical="top"/>
    </xf>
    <xf numFmtId="175" fontId="27" fillId="0" borderId="10" xfId="0" applyNumberFormat="1" applyFont="1" applyBorder="1" applyAlignment="1">
      <alignment vertical="top"/>
    </xf>
    <xf numFmtId="177" fontId="27" fillId="0" borderId="10" xfId="0" applyNumberFormat="1" applyFont="1" applyBorder="1" applyAlignment="1">
      <alignment vertical="top"/>
    </xf>
    <xf numFmtId="175" fontId="27" fillId="0" borderId="10" xfId="61" applyNumberFormat="1" applyFont="1" applyFill="1" applyBorder="1" applyAlignment="1">
      <alignment horizontal="center" vertical="top"/>
    </xf>
    <xf numFmtId="2" fontId="26" fillId="4" borderId="10" xfId="53" applyNumberFormat="1" applyFont="1" applyFill="1" applyBorder="1" applyAlignment="1">
      <alignment horizontal="center" vertical="top"/>
      <protection/>
    </xf>
    <xf numFmtId="2" fontId="26" fillId="0" borderId="10" xfId="53" applyNumberFormat="1" applyFont="1" applyFill="1" applyBorder="1" applyAlignment="1">
      <alignment horizontal="center" vertical="top"/>
      <protection/>
    </xf>
    <xf numFmtId="4" fontId="27" fillId="0" borderId="10" xfId="0" applyNumberFormat="1" applyFont="1" applyFill="1" applyBorder="1" applyAlignment="1" applyProtection="1">
      <alignment vertical="top"/>
      <protection/>
    </xf>
    <xf numFmtId="4" fontId="27" fillId="4" borderId="10" xfId="0" applyNumberFormat="1" applyFont="1" applyFill="1" applyBorder="1" applyAlignment="1" applyProtection="1">
      <alignment vertical="top"/>
      <protection/>
    </xf>
    <xf numFmtId="43" fontId="26" fillId="0" borderId="10" xfId="53" applyNumberFormat="1" applyFont="1" applyFill="1" applyBorder="1" applyAlignment="1">
      <alignment horizontal="center" vertical="top"/>
      <protection/>
    </xf>
    <xf numFmtId="43" fontId="26" fillId="25" borderId="10" xfId="53" applyNumberFormat="1" applyFont="1" applyFill="1" applyBorder="1" applyAlignment="1">
      <alignment horizontal="center" vertical="top"/>
      <protection/>
    </xf>
    <xf numFmtId="43" fontId="26" fillId="4" borderId="10" xfId="53" applyNumberFormat="1" applyFont="1" applyFill="1" applyBorder="1" applyAlignment="1">
      <alignment horizontal="center" vertical="top"/>
      <protection/>
    </xf>
    <xf numFmtId="43" fontId="26" fillId="4" borderId="10" xfId="61" applyNumberFormat="1" applyFont="1" applyFill="1" applyBorder="1" applyAlignment="1">
      <alignment horizontal="center" vertical="top"/>
    </xf>
    <xf numFmtId="43" fontId="27" fillId="0" borderId="10" xfId="61" applyNumberFormat="1" applyFont="1" applyBorder="1" applyAlignment="1">
      <alignment vertical="top"/>
    </xf>
    <xf numFmtId="43" fontId="26" fillId="0" borderId="10" xfId="61" applyNumberFormat="1" applyFont="1" applyBorder="1" applyAlignment="1">
      <alignment horizontal="center" vertical="top"/>
    </xf>
    <xf numFmtId="43" fontId="27" fillId="0" borderId="10" xfId="61" applyNumberFormat="1" applyFont="1" applyFill="1" applyBorder="1" applyAlignment="1">
      <alignment vertical="top"/>
    </xf>
    <xf numFmtId="43" fontId="26" fillId="0" borderId="10" xfId="53" applyNumberFormat="1" applyFont="1" applyBorder="1" applyAlignment="1">
      <alignment horizontal="center" vertical="top"/>
      <protection/>
    </xf>
    <xf numFmtId="43" fontId="27" fillId="4" borderId="10" xfId="61" applyNumberFormat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6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 indent="3"/>
    </xf>
    <xf numFmtId="0" fontId="26" fillId="0" borderId="11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@sever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14" sqref="B14"/>
      <selection activeCell="A1" sqref="A1"/>
    </sheetView>
  </sheetViews>
  <sheetFormatPr defaultColWidth="9.00390625" defaultRowHeight="12.75"/>
  <cols>
    <col min="1" max="1" width="33.875" style="7" customWidth="1"/>
    <col min="2" max="2" width="66.375" style="7" customWidth="1"/>
    <col min="3" max="3" width="24.375" style="7" customWidth="1"/>
    <col min="4" max="16384" width="9.125" style="7" customWidth="1"/>
  </cols>
  <sheetData>
    <row r="1" ht="12.75">
      <c r="C1" s="9" t="s">
        <v>92</v>
      </c>
    </row>
    <row r="2" ht="39.75" customHeight="1">
      <c r="C2" s="9" t="s">
        <v>80</v>
      </c>
    </row>
    <row r="3" ht="12.75">
      <c r="A3" s="8"/>
    </row>
    <row r="4" spans="1:3" ht="16.5">
      <c r="A4" s="78" t="s">
        <v>81</v>
      </c>
      <c r="B4" s="78"/>
      <c r="C4" s="78"/>
    </row>
    <row r="5" spans="1:3" ht="16.5">
      <c r="A5" s="17"/>
      <c r="B5" s="17"/>
      <c r="C5" s="17"/>
    </row>
    <row r="6" spans="1:3" ht="16.5">
      <c r="A6" s="10" t="s">
        <v>82</v>
      </c>
      <c r="B6" s="19" t="s">
        <v>147</v>
      </c>
      <c r="C6" s="10"/>
    </row>
    <row r="7" spans="1:3" ht="16.5">
      <c r="A7" s="10"/>
      <c r="B7" s="19"/>
      <c r="C7" s="10"/>
    </row>
    <row r="8" spans="1:3" ht="16.5">
      <c r="A8" s="10" t="s">
        <v>83</v>
      </c>
      <c r="B8" s="19" t="s">
        <v>148</v>
      </c>
      <c r="C8" s="10"/>
    </row>
    <row r="9" spans="1:3" ht="16.5">
      <c r="A9" s="10"/>
      <c r="B9" s="19"/>
      <c r="C9" s="10"/>
    </row>
    <row r="10" spans="1:3" ht="16.5">
      <c r="A10" s="10" t="s">
        <v>84</v>
      </c>
      <c r="B10" s="19" t="s">
        <v>149</v>
      </c>
      <c r="C10" s="10"/>
    </row>
    <row r="11" spans="1:3" ht="16.5">
      <c r="A11" s="10"/>
      <c r="B11" s="19"/>
      <c r="C11" s="10"/>
    </row>
    <row r="12" spans="1:3" ht="16.5">
      <c r="A12" s="10" t="s">
        <v>85</v>
      </c>
      <c r="B12" s="19" t="s">
        <v>149</v>
      </c>
      <c r="C12" s="10"/>
    </row>
    <row r="13" spans="1:3" ht="16.5">
      <c r="A13" s="10"/>
      <c r="B13" s="19"/>
      <c r="C13" s="10"/>
    </row>
    <row r="14" spans="1:3" ht="16.5">
      <c r="A14" s="10" t="s">
        <v>86</v>
      </c>
      <c r="B14" s="19">
        <v>7024035693</v>
      </c>
      <c r="C14" s="10"/>
    </row>
    <row r="15" spans="1:3" ht="16.5">
      <c r="A15" s="10"/>
      <c r="C15" s="10"/>
    </row>
    <row r="16" spans="1:3" ht="16.5">
      <c r="A16" s="10" t="s">
        <v>87</v>
      </c>
      <c r="B16" s="19">
        <v>702401001</v>
      </c>
      <c r="C16" s="10"/>
    </row>
    <row r="17" spans="1:3" ht="16.5">
      <c r="A17" s="10"/>
      <c r="B17" s="19"/>
      <c r="C17" s="10"/>
    </row>
    <row r="18" spans="1:3" ht="16.5">
      <c r="A18" s="10" t="s">
        <v>88</v>
      </c>
      <c r="B18" s="10" t="s">
        <v>150</v>
      </c>
      <c r="C18" s="10"/>
    </row>
    <row r="19" spans="1:3" ht="16.5">
      <c r="A19" s="10"/>
      <c r="B19" s="10"/>
      <c r="C19" s="10"/>
    </row>
    <row r="20" spans="1:3" ht="16.5">
      <c r="A20" s="10" t="s">
        <v>89</v>
      </c>
      <c r="B20" s="10" t="s">
        <v>152</v>
      </c>
      <c r="C20" s="10"/>
    </row>
    <row r="21" spans="1:3" ht="16.5">
      <c r="A21" s="10"/>
      <c r="B21" s="10"/>
      <c r="C21" s="10"/>
    </row>
    <row r="22" spans="1:3" ht="16.5">
      <c r="A22" s="10" t="s">
        <v>90</v>
      </c>
      <c r="B22" s="10" t="s">
        <v>151</v>
      </c>
      <c r="C22" s="10"/>
    </row>
    <row r="23" spans="1:3" ht="16.5">
      <c r="A23" s="10"/>
      <c r="B23" s="10"/>
      <c r="C23" s="10"/>
    </row>
    <row r="24" spans="1:3" ht="16.5">
      <c r="A24" s="10" t="s">
        <v>91</v>
      </c>
      <c r="B24" s="10" t="s">
        <v>151</v>
      </c>
      <c r="C24" s="10"/>
    </row>
    <row r="25" ht="15.75">
      <c r="A25" s="1"/>
    </row>
  </sheetData>
  <mergeCells count="1">
    <mergeCell ref="A4:C4"/>
  </mergeCells>
  <hyperlinks>
    <hyperlink ref="B20" r:id="rId1" display="ges@seversk.ru"/>
  </hyperlinks>
  <printOptions/>
  <pageMargins left="0.75" right="0.75" top="1" bottom="1" header="0.5" footer="0.5"/>
  <pageSetup horizontalDpi="600" verticalDpi="600" orientation="portrait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4">
      <pane xSplit="3" ySplit="5" topLeftCell="D29" activePane="bottomRight" state="split"/>
      <selection pane="topLeft" activeCell="A4" sqref="A4"/>
      <selection pane="topRight" activeCell="D4" sqref="D4"/>
      <selection pane="bottomLeft" activeCell="A9" sqref="A9"/>
      <selection pane="bottomRight" activeCell="D29" sqref="D29"/>
      <selection pane="topLeft" activeCell="A60" sqref="A60:IV60"/>
    </sheetView>
  </sheetViews>
  <sheetFormatPr defaultColWidth="9.00390625" defaultRowHeight="12.75" outlineLevelRow="1"/>
  <cols>
    <col min="1" max="1" width="6.625" style="1" customWidth="1"/>
    <col min="2" max="2" width="31.00390625" style="1" customWidth="1"/>
    <col min="3" max="3" width="12.25390625" style="1" customWidth="1"/>
    <col min="4" max="6" width="40.125" style="1" customWidth="1"/>
    <col min="7" max="16384" width="9.125" style="1" customWidth="1"/>
  </cols>
  <sheetData>
    <row r="1" ht="54" customHeight="1">
      <c r="F1" s="3" t="s">
        <v>57</v>
      </c>
    </row>
    <row r="2" ht="15.75"/>
    <row r="3" ht="15.75"/>
    <row r="4" spans="1:6" ht="31.5" customHeight="1">
      <c r="A4" s="79" t="s">
        <v>78</v>
      </c>
      <c r="B4" s="78"/>
      <c r="C4" s="78"/>
      <c r="D4" s="78"/>
      <c r="E4" s="78"/>
      <c r="F4" s="78"/>
    </row>
    <row r="5" ht="15.75"/>
    <row r="6" ht="15.75"/>
    <row r="7" spans="1:6" s="2" customFormat="1" ht="47.25">
      <c r="A7" s="30" t="s">
        <v>53</v>
      </c>
      <c r="B7" s="30" t="s">
        <v>0</v>
      </c>
      <c r="C7" s="30" t="s">
        <v>1</v>
      </c>
      <c r="D7" s="30" t="s">
        <v>56</v>
      </c>
      <c r="E7" s="30" t="s">
        <v>55</v>
      </c>
      <c r="F7" s="30" t="s">
        <v>54</v>
      </c>
    </row>
    <row r="8" spans="1:6" s="2" customFormat="1" ht="15.75" hidden="1" outlineLevel="1">
      <c r="A8" s="30"/>
      <c r="B8" s="30"/>
      <c r="C8" s="30"/>
      <c r="D8" s="30">
        <v>2013</v>
      </c>
      <c r="E8" s="30">
        <v>2014</v>
      </c>
      <c r="F8" s="30">
        <v>2015</v>
      </c>
    </row>
    <row r="9" spans="1:6" s="4" customFormat="1" ht="35.25" customHeight="1" collapsed="1">
      <c r="A9" s="20" t="s">
        <v>2</v>
      </c>
      <c r="B9" s="21" t="s">
        <v>3</v>
      </c>
      <c r="C9" s="20"/>
      <c r="D9" s="22"/>
      <c r="E9" s="22"/>
      <c r="F9" s="22"/>
    </row>
    <row r="10" spans="1:6" s="4" customFormat="1" ht="28.5" customHeight="1">
      <c r="A10" s="20" t="s">
        <v>4</v>
      </c>
      <c r="B10" s="21" t="s">
        <v>5</v>
      </c>
      <c r="C10" s="20" t="s">
        <v>6</v>
      </c>
      <c r="D10" s="26">
        <f>D59+D37+D39</f>
        <v>184845.11884468998</v>
      </c>
      <c r="E10" s="26">
        <f>E59+E37+E39</f>
        <v>199022.52510199999</v>
      </c>
      <c r="F10" s="26">
        <f>F59+F37+F39</f>
        <v>224300.65539</v>
      </c>
    </row>
    <row r="11" spans="1:6" s="4" customFormat="1" ht="28.5" customHeight="1">
      <c r="A11" s="20" t="s">
        <v>7</v>
      </c>
      <c r="B11" s="21" t="s">
        <v>8</v>
      </c>
      <c r="C11" s="20" t="s">
        <v>6</v>
      </c>
      <c r="D11" s="26">
        <f>D58</f>
        <v>28519.59999999999</v>
      </c>
      <c r="E11" s="26">
        <f>E58</f>
        <v>5503</v>
      </c>
      <c r="F11" s="26">
        <f>F58</f>
        <v>33263</v>
      </c>
    </row>
    <row r="12" spans="1:6" s="4" customFormat="1" ht="59.25" customHeight="1">
      <c r="A12" s="20" t="s">
        <v>9</v>
      </c>
      <c r="B12" s="21" t="s">
        <v>10</v>
      </c>
      <c r="C12" s="20" t="s">
        <v>6</v>
      </c>
      <c r="D12" s="26">
        <f>D11+D34</f>
        <v>33288.59999999999</v>
      </c>
      <c r="E12" s="26">
        <f>E11+E34</f>
        <v>9944</v>
      </c>
      <c r="F12" s="26">
        <f>F11+F34</f>
        <v>41862</v>
      </c>
    </row>
    <row r="13" spans="1:6" s="4" customFormat="1" ht="27.75" customHeight="1">
      <c r="A13" s="20" t="s">
        <v>11</v>
      </c>
      <c r="B13" s="21" t="s">
        <v>12</v>
      </c>
      <c r="C13" s="20" t="s">
        <v>6</v>
      </c>
      <c r="D13" s="35">
        <v>10905.834051724138</v>
      </c>
      <c r="E13" s="36">
        <v>0</v>
      </c>
      <c r="F13" s="35">
        <v>17295.69331225746</v>
      </c>
    </row>
    <row r="14" spans="1:6" s="4" customFormat="1" ht="41.25" customHeight="1">
      <c r="A14" s="20" t="s">
        <v>13</v>
      </c>
      <c r="B14" s="21" t="s">
        <v>14</v>
      </c>
      <c r="C14" s="20"/>
      <c r="D14" s="22"/>
      <c r="E14" s="22"/>
      <c r="F14" s="22"/>
    </row>
    <row r="15" spans="1:6" s="4" customFormat="1" ht="94.5">
      <c r="A15" s="20" t="s">
        <v>15</v>
      </c>
      <c r="B15" s="21" t="s">
        <v>65</v>
      </c>
      <c r="C15" s="20" t="s">
        <v>16</v>
      </c>
      <c r="D15" s="31">
        <f>D11/D10</f>
        <v>0.15428917018881438</v>
      </c>
      <c r="E15" s="31">
        <f>E11/E10</f>
        <v>0.027650136572127636</v>
      </c>
      <c r="F15" s="31">
        <f>F11/F10</f>
        <v>0.14829649045012538</v>
      </c>
    </row>
    <row r="16" spans="1:6" s="4" customFormat="1" ht="58.5" customHeight="1">
      <c r="A16" s="20" t="s">
        <v>17</v>
      </c>
      <c r="B16" s="21" t="s">
        <v>64</v>
      </c>
      <c r="C16" s="20"/>
      <c r="D16" s="22"/>
      <c r="E16" s="22"/>
      <c r="F16" s="22"/>
    </row>
    <row r="17" spans="1:6" s="4" customFormat="1" ht="60.75" customHeight="1">
      <c r="A17" s="20" t="s">
        <v>18</v>
      </c>
      <c r="B17" s="21" t="s">
        <v>58</v>
      </c>
      <c r="C17" s="20" t="s">
        <v>19</v>
      </c>
      <c r="D17" s="25"/>
      <c r="E17" s="25"/>
      <c r="F17" s="25"/>
    </row>
    <row r="18" spans="1:6" s="4" customFormat="1" ht="39.75" customHeight="1">
      <c r="A18" s="20" t="s">
        <v>20</v>
      </c>
      <c r="B18" s="21" t="s">
        <v>59</v>
      </c>
      <c r="C18" s="20" t="s">
        <v>21</v>
      </c>
      <c r="D18" s="25"/>
      <c r="E18" s="25"/>
      <c r="F18" s="25"/>
    </row>
    <row r="19" spans="1:6" s="5" customFormat="1" ht="24.75" customHeight="1">
      <c r="A19" s="20" t="s">
        <v>22</v>
      </c>
      <c r="B19" s="21" t="s">
        <v>60</v>
      </c>
      <c r="C19" s="20" t="s">
        <v>19</v>
      </c>
      <c r="D19" s="36">
        <v>38.38</v>
      </c>
      <c r="E19" s="36">
        <v>38.99</v>
      </c>
      <c r="F19" s="36">
        <v>38.99</v>
      </c>
    </row>
    <row r="20" spans="1:6" s="4" customFormat="1" ht="39" customHeight="1">
      <c r="A20" s="20" t="s">
        <v>173</v>
      </c>
      <c r="B20" s="21" t="s">
        <v>172</v>
      </c>
      <c r="C20" s="20" t="s">
        <v>61</v>
      </c>
      <c r="D20" s="43">
        <f>'цены Северск '!F30/1000</f>
        <v>230.783694</v>
      </c>
      <c r="E20" s="43">
        <f>'цены Северск '!I30/1000</f>
        <v>231.19</v>
      </c>
      <c r="F20" s="43">
        <f>'цены Северск '!L30/1000</f>
        <v>228.743</v>
      </c>
    </row>
    <row r="21" spans="1:6" s="4" customFormat="1" ht="76.5" customHeight="1">
      <c r="A21" s="20" t="s">
        <v>24</v>
      </c>
      <c r="B21" s="21" t="s">
        <v>62</v>
      </c>
      <c r="C21" s="20" t="s">
        <v>23</v>
      </c>
      <c r="D21" s="37">
        <v>122.713154</v>
      </c>
      <c r="E21" s="37">
        <v>127.193</v>
      </c>
      <c r="F21" s="37">
        <v>126.59</v>
      </c>
    </row>
    <row r="22" spans="1:6" s="4" customFormat="1" ht="110.25">
      <c r="A22" s="20" t="s">
        <v>25</v>
      </c>
      <c r="B22" s="21" t="s">
        <v>63</v>
      </c>
      <c r="C22" s="20" t="s">
        <v>16</v>
      </c>
      <c r="D22" s="23" t="s">
        <v>177</v>
      </c>
      <c r="E22" s="23" t="s">
        <v>178</v>
      </c>
      <c r="F22" s="23" t="s">
        <v>179</v>
      </c>
    </row>
    <row r="23" spans="1:6" s="4" customFormat="1" ht="141.75">
      <c r="A23" s="20" t="s">
        <v>26</v>
      </c>
      <c r="B23" s="21" t="s">
        <v>66</v>
      </c>
      <c r="C23" s="20"/>
      <c r="D23" s="23" t="s">
        <v>170</v>
      </c>
      <c r="E23" s="23" t="s">
        <v>170</v>
      </c>
      <c r="F23" s="23" t="s">
        <v>171</v>
      </c>
    </row>
    <row r="24" spans="1:6" s="4" customFormat="1" ht="93.75">
      <c r="A24" s="20" t="s">
        <v>27</v>
      </c>
      <c r="B24" s="21" t="s">
        <v>67</v>
      </c>
      <c r="C24" s="20" t="s">
        <v>21</v>
      </c>
      <c r="D24" s="25"/>
      <c r="E24" s="25"/>
      <c r="F24" s="25"/>
    </row>
    <row r="25" spans="1:6" s="4" customFormat="1" ht="72" customHeight="1">
      <c r="A25" s="20" t="s">
        <v>28</v>
      </c>
      <c r="B25" s="21" t="s">
        <v>29</v>
      </c>
      <c r="C25" s="20"/>
      <c r="D25" s="26">
        <f>D10</f>
        <v>184845.11884468998</v>
      </c>
      <c r="E25" s="26">
        <f>E10</f>
        <v>199022.52510199999</v>
      </c>
      <c r="F25" s="26">
        <f>F10</f>
        <v>224300.65539</v>
      </c>
    </row>
    <row r="26" spans="1:6" s="4" customFormat="1" ht="90" customHeight="1">
      <c r="A26" s="20" t="s">
        <v>30</v>
      </c>
      <c r="B26" s="21" t="s">
        <v>160</v>
      </c>
      <c r="C26" s="20" t="s">
        <v>6</v>
      </c>
      <c r="D26" s="38">
        <f>D28+D29+D30</f>
        <v>111282.71546999997</v>
      </c>
      <c r="E26" s="38">
        <f>E28+E29+E30</f>
        <v>119423.99999999999</v>
      </c>
      <c r="F26" s="38">
        <f>F28+F29+F30</f>
        <v>116726.761</v>
      </c>
    </row>
    <row r="27" spans="1:6" s="4" customFormat="1" ht="27" customHeight="1">
      <c r="A27" s="20"/>
      <c r="B27" s="21" t="s">
        <v>68</v>
      </c>
      <c r="C27" s="20"/>
      <c r="D27" s="26"/>
      <c r="E27" s="22"/>
      <c r="F27" s="22"/>
    </row>
    <row r="28" spans="1:6" s="4" customFormat="1" ht="27" customHeight="1">
      <c r="A28" s="20"/>
      <c r="B28" s="21" t="s">
        <v>31</v>
      </c>
      <c r="C28" s="20"/>
      <c r="D28" s="35">
        <f>47789+12158</f>
        <v>59947</v>
      </c>
      <c r="E28" s="36">
        <f>59808+18062</f>
        <v>77870</v>
      </c>
      <c r="F28" s="36">
        <f>62059+18742</f>
        <v>80801</v>
      </c>
    </row>
    <row r="29" spans="1:6" s="4" customFormat="1" ht="27" customHeight="1">
      <c r="A29" s="20"/>
      <c r="B29" s="21" t="s">
        <v>32</v>
      </c>
      <c r="C29" s="20"/>
      <c r="D29" s="35">
        <v>2127</v>
      </c>
      <c r="E29" s="36">
        <v>21615</v>
      </c>
      <c r="F29" s="36">
        <v>2699</v>
      </c>
    </row>
    <row r="30" spans="1:6" s="4" customFormat="1" ht="27" customHeight="1">
      <c r="A30" s="20"/>
      <c r="B30" s="21" t="s">
        <v>33</v>
      </c>
      <c r="C30" s="20"/>
      <c r="D30" s="26">
        <f>D59+D37+D39-D29-D28-D32-D40-D41</f>
        <v>49208.71546999997</v>
      </c>
      <c r="E30" s="26">
        <f>E59+E37+E39-E29-E28-E32-E40-E41</f>
        <v>19938.999999999985</v>
      </c>
      <c r="F30" s="26">
        <f>F59+F37+F39-F29-F28-F32-F40-F41</f>
        <v>33226.761</v>
      </c>
    </row>
    <row r="31" spans="1:6" s="4" customFormat="1" ht="27" customHeight="1" hidden="1" outlineLevel="1">
      <c r="A31" s="20"/>
      <c r="B31" s="29" t="s">
        <v>161</v>
      </c>
      <c r="C31" s="20"/>
      <c r="D31" s="26"/>
      <c r="E31" s="26"/>
      <c r="F31" s="26"/>
    </row>
    <row r="32" spans="1:6" s="4" customFormat="1" ht="85.5" customHeight="1" collapsed="1">
      <c r="A32" s="20" t="s">
        <v>34</v>
      </c>
      <c r="B32" s="21" t="s">
        <v>69</v>
      </c>
      <c r="C32" s="20" t="s">
        <v>6</v>
      </c>
      <c r="D32" s="26">
        <f>SUM(D33:D39)</f>
        <v>72271.09693469001</v>
      </c>
      <c r="E32" s="26">
        <f>SUM(E33:E39)</f>
        <v>79476.525102</v>
      </c>
      <c r="F32" s="26">
        <f>SUM(F33:F39)</f>
        <v>89301.65539</v>
      </c>
    </row>
    <row r="33" spans="1:6" s="4" customFormat="1" ht="38.25" customHeight="1" hidden="1" outlineLevel="1">
      <c r="A33" s="20"/>
      <c r="B33" s="28" t="s">
        <v>153</v>
      </c>
      <c r="C33" s="20"/>
      <c r="D33" s="35">
        <v>0</v>
      </c>
      <c r="E33" s="36">
        <v>0</v>
      </c>
      <c r="F33" s="36">
        <v>0</v>
      </c>
    </row>
    <row r="34" spans="1:6" s="4" customFormat="1" ht="47.25" hidden="1" outlineLevel="1">
      <c r="A34" s="20"/>
      <c r="B34" s="28" t="s">
        <v>156</v>
      </c>
      <c r="C34" s="20"/>
      <c r="D34" s="35">
        <v>4769</v>
      </c>
      <c r="E34" s="36">
        <v>4441</v>
      </c>
      <c r="F34" s="35">
        <v>8599</v>
      </c>
    </row>
    <row r="35" spans="1:6" s="4" customFormat="1" ht="94.5" hidden="1" outlineLevel="1">
      <c r="A35" s="20"/>
      <c r="B35" s="28" t="s">
        <v>159</v>
      </c>
      <c r="C35" s="20"/>
      <c r="D35" s="35">
        <v>0</v>
      </c>
      <c r="E35" s="36">
        <v>0</v>
      </c>
      <c r="F35" s="36">
        <v>1140</v>
      </c>
    </row>
    <row r="36" spans="1:6" s="4" customFormat="1" ht="84" customHeight="1" hidden="1" outlineLevel="1">
      <c r="A36" s="20"/>
      <c r="B36" s="28" t="s">
        <v>154</v>
      </c>
      <c r="C36" s="20"/>
      <c r="D36" s="35">
        <v>7576.87809</v>
      </c>
      <c r="E36" s="36">
        <v>8978</v>
      </c>
      <c r="F36" s="36">
        <v>11041</v>
      </c>
    </row>
    <row r="37" spans="1:6" s="4" customFormat="1" ht="78.75" hidden="1" outlineLevel="1">
      <c r="A37" s="20"/>
      <c r="B37" s="28" t="s">
        <v>155</v>
      </c>
      <c r="C37" s="20"/>
      <c r="D37" s="35">
        <v>16408.87394</v>
      </c>
      <c r="E37" s="36">
        <v>11809.3</v>
      </c>
      <c r="F37" s="36">
        <v>12000</v>
      </c>
    </row>
    <row r="38" spans="1:6" s="4" customFormat="1" ht="78.75" hidden="1" outlineLevel="1">
      <c r="A38" s="20"/>
      <c r="B38" s="21" t="s">
        <v>158</v>
      </c>
      <c r="C38" s="20"/>
      <c r="D38" s="35">
        <v>116</v>
      </c>
      <c r="E38" s="36">
        <v>209</v>
      </c>
      <c r="F38" s="36">
        <v>128</v>
      </c>
    </row>
    <row r="39" spans="1:6" s="4" customFormat="1" ht="63" hidden="1" outlineLevel="1">
      <c r="A39" s="20"/>
      <c r="B39" s="21" t="s">
        <v>157</v>
      </c>
      <c r="C39" s="20"/>
      <c r="D39" s="45">
        <f>'цены Северск '!F21</f>
        <v>43400.344904690006</v>
      </c>
      <c r="E39" s="45">
        <f>'цены Северск '!I21</f>
        <v>54039.225102</v>
      </c>
      <c r="F39" s="45">
        <f>'цены Северск '!L21</f>
        <v>56393.65539</v>
      </c>
    </row>
    <row r="40" spans="1:6" s="4" customFormat="1" ht="60.75" customHeight="1" collapsed="1">
      <c r="A40" s="20" t="s">
        <v>35</v>
      </c>
      <c r="B40" s="21" t="s">
        <v>70</v>
      </c>
      <c r="C40" s="20" t="s">
        <v>6</v>
      </c>
      <c r="D40" s="22">
        <v>0</v>
      </c>
      <c r="E40" s="22">
        <v>122</v>
      </c>
      <c r="F40" s="26">
        <v>976.639</v>
      </c>
    </row>
    <row r="41" spans="1:6" s="4" customFormat="1" ht="43.5" customHeight="1">
      <c r="A41" s="20" t="s">
        <v>36</v>
      </c>
      <c r="B41" s="21" t="s">
        <v>79</v>
      </c>
      <c r="C41" s="20" t="s">
        <v>6</v>
      </c>
      <c r="D41" s="22">
        <v>1291.30644</v>
      </c>
      <c r="E41" s="22">
        <v>0</v>
      </c>
      <c r="F41" s="26">
        <v>17295.6</v>
      </c>
    </row>
    <row r="42" spans="1:6" s="4" customFormat="1" ht="70.5" customHeight="1">
      <c r="A42" s="20" t="s">
        <v>37</v>
      </c>
      <c r="B42" s="21" t="s">
        <v>38</v>
      </c>
      <c r="C42" s="20"/>
      <c r="D42" s="22" t="s">
        <v>167</v>
      </c>
      <c r="E42" s="22" t="s">
        <v>167</v>
      </c>
      <c r="F42" s="27" t="s">
        <v>164</v>
      </c>
    </row>
    <row r="43" spans="1:6" s="4" customFormat="1" ht="27" customHeight="1">
      <c r="A43" s="20"/>
      <c r="B43" s="24" t="s">
        <v>39</v>
      </c>
      <c r="C43" s="20"/>
      <c r="D43" s="22"/>
      <c r="E43" s="22"/>
      <c r="F43" s="22"/>
    </row>
    <row r="44" spans="1:6" s="4" customFormat="1" ht="30.75" customHeight="1">
      <c r="A44" s="20"/>
      <c r="B44" s="21" t="s">
        <v>71</v>
      </c>
      <c r="C44" s="20" t="s">
        <v>40</v>
      </c>
      <c r="D44" s="36">
        <v>4658.53</v>
      </c>
      <c r="E44" s="36">
        <v>4733.057</v>
      </c>
      <c r="F44" s="36">
        <v>4760.257</v>
      </c>
    </row>
    <row r="45" spans="1:6" s="4" customFormat="1" ht="37.5">
      <c r="A45" s="20"/>
      <c r="B45" s="21" t="s">
        <v>72</v>
      </c>
      <c r="C45" s="20" t="s">
        <v>41</v>
      </c>
      <c r="D45" s="43">
        <f>D32/D44</f>
        <v>15.513712895417656</v>
      </c>
      <c r="E45" s="43">
        <f>E32/E44</f>
        <v>16.791795472144113</v>
      </c>
      <c r="F45" s="43">
        <f>F32/F44</f>
        <v>18.759839099023438</v>
      </c>
    </row>
    <row r="46" spans="1:6" s="4" customFormat="1" ht="72.75" customHeight="1">
      <c r="A46" s="20" t="s">
        <v>42</v>
      </c>
      <c r="B46" s="21" t="s">
        <v>43</v>
      </c>
      <c r="C46" s="20"/>
      <c r="D46" s="22"/>
      <c r="E46" s="22"/>
      <c r="F46" s="22"/>
    </row>
    <row r="47" spans="1:6" s="4" customFormat="1" ht="41.25" customHeight="1">
      <c r="A47" s="20" t="s">
        <v>44</v>
      </c>
      <c r="B47" s="21" t="s">
        <v>45</v>
      </c>
      <c r="C47" s="20" t="s">
        <v>46</v>
      </c>
      <c r="D47" s="35">
        <v>113.6670057461929</v>
      </c>
      <c r="E47" s="44">
        <v>165.66</v>
      </c>
      <c r="F47" s="44">
        <f>E47</f>
        <v>165.66</v>
      </c>
    </row>
    <row r="48" spans="1:6" s="4" customFormat="1" ht="47.25">
      <c r="A48" s="20" t="s">
        <v>47</v>
      </c>
      <c r="B48" s="21" t="s">
        <v>48</v>
      </c>
      <c r="C48" s="20" t="s">
        <v>73</v>
      </c>
      <c r="D48" s="35">
        <v>34893.215639917005</v>
      </c>
      <c r="E48" s="35">
        <f>59808/12/E47*1000</f>
        <v>30085.717735120128</v>
      </c>
      <c r="F48" s="35">
        <f>62059/12/F47*1000</f>
        <v>31218.05706467061</v>
      </c>
    </row>
    <row r="49" spans="1:6" s="4" customFormat="1" ht="102.75" customHeight="1">
      <c r="A49" s="20" t="s">
        <v>49</v>
      </c>
      <c r="B49" s="21" t="s">
        <v>50</v>
      </c>
      <c r="C49" s="20"/>
      <c r="D49" s="23" t="s">
        <v>163</v>
      </c>
      <c r="E49" s="27" t="s">
        <v>162</v>
      </c>
      <c r="F49" s="27" t="s">
        <v>162</v>
      </c>
    </row>
    <row r="50" spans="1:6" s="4" customFormat="1" ht="27" customHeight="1">
      <c r="A50" s="20"/>
      <c r="B50" s="24" t="s">
        <v>39</v>
      </c>
      <c r="C50" s="20"/>
      <c r="D50" s="22"/>
      <c r="E50" s="22"/>
      <c r="F50" s="22"/>
    </row>
    <row r="51" spans="1:6" s="4" customFormat="1" ht="65.25" customHeight="1">
      <c r="A51" s="20"/>
      <c r="B51" s="21" t="s">
        <v>51</v>
      </c>
      <c r="C51" s="20" t="s">
        <v>6</v>
      </c>
      <c r="D51" s="22">
        <v>36561</v>
      </c>
      <c r="E51" s="22">
        <f>D51-15000</f>
        <v>21561</v>
      </c>
      <c r="F51" s="22">
        <f>E51</f>
        <v>21561</v>
      </c>
    </row>
    <row r="52" spans="1:6" s="4" customFormat="1" ht="68.25" customHeight="1">
      <c r="A52" s="20"/>
      <c r="B52" s="21" t="s">
        <v>52</v>
      </c>
      <c r="C52" s="20" t="s">
        <v>6</v>
      </c>
      <c r="D52" s="22">
        <f>70539-D51</f>
        <v>33978</v>
      </c>
      <c r="E52" s="22">
        <f>88663+10000-15000-62820+15000</f>
        <v>35843</v>
      </c>
      <c r="F52" s="26">
        <f>(88663+10000+F13-15000)-(62820+F41)</f>
        <v>20843.09331225745</v>
      </c>
    </row>
    <row r="53" s="7" customFormat="1" ht="19.5" customHeight="1">
      <c r="A53" s="6" t="s">
        <v>74</v>
      </c>
    </row>
    <row r="54" s="7" customFormat="1" ht="15.75">
      <c r="A54" s="6" t="s">
        <v>75</v>
      </c>
    </row>
    <row r="55" s="7" customFormat="1" ht="15.75">
      <c r="A55" s="6" t="s">
        <v>76</v>
      </c>
    </row>
    <row r="56" s="7" customFormat="1" ht="15.75">
      <c r="A56" s="6" t="s">
        <v>77</v>
      </c>
    </row>
    <row r="57" spans="1:6" ht="31.5" hidden="1" outlineLevel="1">
      <c r="A57" s="20"/>
      <c r="B57" s="21" t="s">
        <v>174</v>
      </c>
      <c r="C57" s="20" t="s">
        <v>6</v>
      </c>
      <c r="D57" s="42">
        <v>96516.3</v>
      </c>
      <c r="E57" s="42">
        <v>127671</v>
      </c>
      <c r="F57" s="42">
        <v>122644</v>
      </c>
    </row>
    <row r="58" spans="1:6" ht="15.75" hidden="1" outlineLevel="1">
      <c r="A58" s="20"/>
      <c r="B58" s="21" t="s">
        <v>8</v>
      </c>
      <c r="C58" s="20"/>
      <c r="D58" s="40">
        <f>D59-D57</f>
        <v>28519.59999999999</v>
      </c>
      <c r="E58" s="40">
        <f>E59-E57</f>
        <v>5503</v>
      </c>
      <c r="F58" s="40">
        <f>F59-F57</f>
        <v>33263</v>
      </c>
    </row>
    <row r="59" spans="1:6" ht="17.25" customHeight="1" hidden="1" outlineLevel="1">
      <c r="A59" s="20"/>
      <c r="B59" s="21" t="s">
        <v>175</v>
      </c>
      <c r="C59" s="20" t="s">
        <v>6</v>
      </c>
      <c r="D59" s="42">
        <v>125035.9</v>
      </c>
      <c r="E59" s="42">
        <v>133174</v>
      </c>
      <c r="F59" s="42">
        <v>155907</v>
      </c>
    </row>
    <row r="60" spans="1:6" ht="15.75" hidden="1" outlineLevel="1" collapsed="1">
      <c r="A60" s="39"/>
      <c r="B60" s="39" t="s">
        <v>176</v>
      </c>
      <c r="C60" s="39"/>
      <c r="D60" s="41">
        <f>D25-D26-D32-D40-D41</f>
        <v>0</v>
      </c>
      <c r="E60" s="41">
        <f>E25-E26-E32-E40-E41</f>
        <v>0</v>
      </c>
      <c r="F60" s="41">
        <f>F25-F26-F32-F40-F41</f>
        <v>0</v>
      </c>
    </row>
    <row r="61" ht="15.75" collapsed="1"/>
  </sheetData>
  <sheetProtection password="CF5C" sheet="1" objects="1" scenarios="1"/>
  <mergeCells count="1">
    <mergeCell ref="A4:F4"/>
  </mergeCells>
  <printOptions/>
  <pageMargins left="0.7874015748031497" right="0.2" top="0.23" bottom="0.3937007874015748" header="0.2" footer="0.1968503937007874"/>
  <pageSetup blackAndWhite="1" horizontalDpi="600" verticalDpi="600" orientation="portrait" paperSize="9" scale="55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8">
      <pane xSplit="2" ySplit="2" topLeftCell="C15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G22" sqref="G22"/>
      <selection pane="topLeft" activeCell="A8" sqref="A8"/>
      <selection pane="topRight" activeCell="C8" sqref="C8"/>
      <selection pane="bottomLeft" activeCell="A10" sqref="A10"/>
      <selection pane="bottomRight" activeCell="H71" sqref="H71"/>
    </sheetView>
  </sheetViews>
  <sheetFormatPr defaultColWidth="9.00390625" defaultRowHeight="12.75" outlineLevelRow="2" outlineLevelCol="1"/>
  <cols>
    <col min="1" max="1" width="7.75390625" style="1" customWidth="1"/>
    <col min="2" max="2" width="45.00390625" style="1" customWidth="1"/>
    <col min="3" max="3" width="17.00390625" style="1" customWidth="1"/>
    <col min="4" max="5" width="14.25390625" style="1" customWidth="1"/>
    <col min="6" max="6" width="14.25390625" style="1" hidden="1" customWidth="1" outlineLevel="1"/>
    <col min="7" max="7" width="15.00390625" style="1" customWidth="1" collapsed="1"/>
    <col min="8" max="8" width="14.125" style="1" customWidth="1"/>
    <col min="9" max="9" width="11.375" style="1" hidden="1" customWidth="1" outlineLevel="1"/>
    <col min="10" max="10" width="14.375" style="1" bestFit="1" customWidth="1" collapsed="1"/>
    <col min="11" max="11" width="13.25390625" style="1" bestFit="1" customWidth="1"/>
    <col min="12" max="12" width="12.00390625" style="1" hidden="1" customWidth="1" outlineLevel="1"/>
    <col min="13" max="13" width="9.125" style="1" customWidth="1" collapsed="1"/>
    <col min="14" max="14" width="12.00390625" style="1" bestFit="1" customWidth="1"/>
    <col min="15" max="16384" width="9.125" style="1" customWidth="1"/>
  </cols>
  <sheetData>
    <row r="1" spans="8:11" ht="54" customHeight="1">
      <c r="H1" s="81" t="s">
        <v>93</v>
      </c>
      <c r="I1" s="81"/>
      <c r="J1" s="81"/>
      <c r="K1" s="81"/>
    </row>
    <row r="2" ht="15.75"/>
    <row r="3" ht="15.75"/>
    <row r="4" ht="15.75"/>
    <row r="5" spans="1:11" ht="16.5">
      <c r="A5" s="79" t="s">
        <v>94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ht="15.75"/>
    <row r="7" ht="15.75"/>
    <row r="8" spans="1:12" s="12" customFormat="1" ht="60.75" customHeight="1">
      <c r="A8" s="82" t="s">
        <v>53</v>
      </c>
      <c r="B8" s="80" t="s">
        <v>0</v>
      </c>
      <c r="C8" s="80" t="s">
        <v>95</v>
      </c>
      <c r="D8" s="80" t="s">
        <v>96</v>
      </c>
      <c r="E8" s="80"/>
      <c r="F8" s="11"/>
      <c r="G8" s="80" t="s">
        <v>97</v>
      </c>
      <c r="H8" s="80"/>
      <c r="I8" s="11"/>
      <c r="J8" s="80" t="s">
        <v>98</v>
      </c>
      <c r="K8" s="80"/>
      <c r="L8" s="53"/>
    </row>
    <row r="9" spans="1:12" s="13" customFormat="1" ht="30" customHeight="1">
      <c r="A9" s="82"/>
      <c r="B9" s="80"/>
      <c r="C9" s="80"/>
      <c r="D9" s="11" t="s">
        <v>99</v>
      </c>
      <c r="E9" s="11" t="s">
        <v>100</v>
      </c>
      <c r="F9" s="11" t="s">
        <v>180</v>
      </c>
      <c r="G9" s="11" t="s">
        <v>99</v>
      </c>
      <c r="H9" s="11" t="s">
        <v>100</v>
      </c>
      <c r="I9" s="11"/>
      <c r="J9" s="11" t="s">
        <v>99</v>
      </c>
      <c r="K9" s="11" t="s">
        <v>100</v>
      </c>
      <c r="L9" s="32"/>
    </row>
    <row r="10" spans="1:12" s="13" customFormat="1" ht="12.75" customHeight="1">
      <c r="A10" s="18"/>
      <c r="B10" s="11"/>
      <c r="C10" s="11"/>
      <c r="D10" s="80">
        <v>2013</v>
      </c>
      <c r="E10" s="80"/>
      <c r="F10" s="11"/>
      <c r="G10" s="80">
        <v>2014</v>
      </c>
      <c r="H10" s="80"/>
      <c r="I10" s="11"/>
      <c r="J10" s="80">
        <v>2015</v>
      </c>
      <c r="K10" s="80"/>
      <c r="L10" s="32"/>
    </row>
    <row r="11" spans="1:12" s="13" customFormat="1" ht="39" customHeight="1">
      <c r="A11" s="14" t="s">
        <v>2</v>
      </c>
      <c r="B11" s="15" t="s">
        <v>101</v>
      </c>
      <c r="C11" s="14"/>
      <c r="D11" s="16"/>
      <c r="E11" s="16"/>
      <c r="F11" s="16"/>
      <c r="G11" s="16"/>
      <c r="H11" s="16"/>
      <c r="I11" s="16"/>
      <c r="J11" s="16"/>
      <c r="K11" s="16"/>
      <c r="L11" s="32"/>
    </row>
    <row r="12" spans="1:12" s="13" customFormat="1" ht="39" customHeight="1">
      <c r="A12" s="14" t="s">
        <v>4</v>
      </c>
      <c r="B12" s="15" t="s">
        <v>102</v>
      </c>
      <c r="C12" s="14"/>
      <c r="D12" s="16"/>
      <c r="E12" s="16"/>
      <c r="F12" s="16"/>
      <c r="G12" s="16"/>
      <c r="H12" s="16"/>
      <c r="I12" s="16"/>
      <c r="J12" s="16"/>
      <c r="K12" s="16"/>
      <c r="L12" s="32"/>
    </row>
    <row r="13" spans="1:12" s="13" customFormat="1" ht="173.25" customHeight="1">
      <c r="A13" s="14"/>
      <c r="B13" s="15" t="s">
        <v>165</v>
      </c>
      <c r="C13" s="14" t="s">
        <v>103</v>
      </c>
      <c r="D13" s="16"/>
      <c r="E13" s="16"/>
      <c r="F13" s="16"/>
      <c r="G13" s="16"/>
      <c r="H13" s="16"/>
      <c r="I13" s="16"/>
      <c r="J13" s="16"/>
      <c r="K13" s="16"/>
      <c r="L13" s="32"/>
    </row>
    <row r="14" spans="1:12" s="13" customFormat="1" ht="169.5" customHeight="1">
      <c r="A14" s="14"/>
      <c r="B14" s="15" t="s">
        <v>166</v>
      </c>
      <c r="C14" s="14" t="s">
        <v>104</v>
      </c>
      <c r="D14" s="16"/>
      <c r="E14" s="16"/>
      <c r="F14" s="16"/>
      <c r="G14" s="16"/>
      <c r="H14" s="16"/>
      <c r="I14" s="16"/>
      <c r="J14" s="16"/>
      <c r="K14" s="16"/>
      <c r="L14" s="32"/>
    </row>
    <row r="15" spans="1:12" s="13" customFormat="1" ht="39" customHeight="1">
      <c r="A15" s="14" t="s">
        <v>7</v>
      </c>
      <c r="B15" s="15" t="s">
        <v>105</v>
      </c>
      <c r="C15" s="14"/>
      <c r="D15" s="16"/>
      <c r="E15" s="16"/>
      <c r="F15" s="16"/>
      <c r="G15" s="16"/>
      <c r="H15" s="16"/>
      <c r="I15" s="16"/>
      <c r="J15" s="16"/>
      <c r="K15" s="16"/>
      <c r="L15" s="32"/>
    </row>
    <row r="16" spans="1:12" s="13" customFormat="1" ht="25.5" customHeight="1">
      <c r="A16" s="14"/>
      <c r="B16" s="15" t="s">
        <v>106</v>
      </c>
      <c r="C16" s="14"/>
      <c r="D16" s="16"/>
      <c r="E16" s="16"/>
      <c r="F16" s="16"/>
      <c r="G16" s="16"/>
      <c r="H16" s="16"/>
      <c r="I16" s="16"/>
      <c r="J16" s="16"/>
      <c r="K16" s="16"/>
      <c r="L16" s="32"/>
    </row>
    <row r="17" spans="1:12" s="13" customFormat="1" ht="25.5" customHeight="1">
      <c r="A17" s="14"/>
      <c r="B17" s="15" t="s">
        <v>107</v>
      </c>
      <c r="C17" s="14" t="s">
        <v>103</v>
      </c>
      <c r="D17" s="62">
        <f>D18/D19/6*1000</f>
        <v>282676.91311623674</v>
      </c>
      <c r="E17" s="62">
        <f>E18/E19/6*1000</f>
        <v>331550.98326233285</v>
      </c>
      <c r="F17" s="61">
        <f>F18/F19/12</f>
        <v>307.1139481892848</v>
      </c>
      <c r="G17" s="62">
        <f>G18/G19/6*1000</f>
        <v>312658.7753188493</v>
      </c>
      <c r="H17" s="62">
        <f>H18/H19/6*1000</f>
        <v>307086.8859618208</v>
      </c>
      <c r="I17" s="61">
        <f>I18/I19/12</f>
        <v>309.87283064033505</v>
      </c>
      <c r="J17" s="62">
        <f>J18/J19/6*1000</f>
        <v>325274.59485369886</v>
      </c>
      <c r="K17" s="62">
        <f>K18/K19/6*1000</f>
        <v>392460.7218941851</v>
      </c>
      <c r="L17" s="61">
        <f>L18/L19/12</f>
        <v>358.86765837394205</v>
      </c>
    </row>
    <row r="18" spans="1:12" s="13" customFormat="1" ht="25.5" customHeight="1" hidden="1" outlineLevel="1">
      <c r="A18" s="14"/>
      <c r="B18" s="15" t="s">
        <v>168</v>
      </c>
      <c r="C18" s="14"/>
      <c r="D18" s="60">
        <f>D29+D28</f>
        <v>65094.839552407</v>
      </c>
      <c r="E18" s="60">
        <f>E29+E28</f>
        <v>76349.56042565001</v>
      </c>
      <c r="F18" s="60">
        <f>E18+D18</f>
        <v>141444.39997805702</v>
      </c>
      <c r="G18" s="60">
        <f>G29+G28</f>
        <v>73143.39389809161</v>
      </c>
      <c r="H18" s="60">
        <f>H29+H28</f>
        <v>71839.90610190836</v>
      </c>
      <c r="I18" s="60">
        <f>H18+G18</f>
        <v>144983.3</v>
      </c>
      <c r="J18" s="60">
        <f>J29+J28</f>
        <v>76094.73872007433</v>
      </c>
      <c r="K18" s="60">
        <f>K29+K28</f>
        <v>91812.26127992567</v>
      </c>
      <c r="L18" s="62">
        <f>K18+J18</f>
        <v>167907</v>
      </c>
    </row>
    <row r="19" spans="1:12" s="13" customFormat="1" ht="25.5" customHeight="1" hidden="1" outlineLevel="1">
      <c r="A19" s="14"/>
      <c r="B19" s="15" t="s">
        <v>169</v>
      </c>
      <c r="C19" s="14"/>
      <c r="D19" s="52">
        <f>'передача Северк'!D19</f>
        <v>38.38</v>
      </c>
      <c r="E19" s="52">
        <f>D19</f>
        <v>38.38</v>
      </c>
      <c r="F19" s="52">
        <f>E19</f>
        <v>38.38</v>
      </c>
      <c r="G19" s="52">
        <f>'передача Северк'!E19</f>
        <v>38.99</v>
      </c>
      <c r="H19" s="52">
        <f>G19</f>
        <v>38.99</v>
      </c>
      <c r="I19" s="52">
        <f>H19</f>
        <v>38.99</v>
      </c>
      <c r="J19" s="52">
        <f>'передача Северк'!F19</f>
        <v>38.99</v>
      </c>
      <c r="K19" s="52">
        <f>J19</f>
        <v>38.99</v>
      </c>
      <c r="L19" s="51">
        <f>K19</f>
        <v>38.99</v>
      </c>
    </row>
    <row r="20" spans="1:12" s="13" customFormat="1" ht="38.25" customHeight="1" collapsed="1">
      <c r="A20" s="14"/>
      <c r="B20" s="15" t="s">
        <v>108</v>
      </c>
      <c r="C20" s="14" t="s">
        <v>104</v>
      </c>
      <c r="D20" s="61">
        <f aca="true" t="shared" si="0" ref="D20:L20">D21/D24*1000</f>
        <v>202.3091982386628</v>
      </c>
      <c r="E20" s="61">
        <f t="shared" si="0"/>
        <v>172.9457159154252</v>
      </c>
      <c r="F20" s="61">
        <f t="shared" si="0"/>
        <v>188.05637500840945</v>
      </c>
      <c r="G20" s="61">
        <f t="shared" si="0"/>
        <v>244.4488463967728</v>
      </c>
      <c r="H20" s="61">
        <f t="shared" si="0"/>
        <v>222.45560168497778</v>
      </c>
      <c r="I20" s="61">
        <f t="shared" si="0"/>
        <v>233.74378261170463</v>
      </c>
      <c r="J20" s="61">
        <f t="shared" si="0"/>
        <v>217.03821443075674</v>
      </c>
      <c r="K20" s="61">
        <f t="shared" si="0"/>
        <v>278.0750490723739</v>
      </c>
      <c r="L20" s="51">
        <f t="shared" si="0"/>
        <v>246.53718535649176</v>
      </c>
    </row>
    <row r="21" spans="1:12" s="13" customFormat="1" ht="38.25" customHeight="1" hidden="1" outlineLevel="1">
      <c r="A21" s="14"/>
      <c r="B21" s="15" t="s">
        <v>168</v>
      </c>
      <c r="C21" s="14"/>
      <c r="D21" s="69">
        <f>D22*D23/1000</f>
        <v>24026.83679034</v>
      </c>
      <c r="E21" s="69">
        <f>+E22*E23/1000</f>
        <v>19373.508114350003</v>
      </c>
      <c r="F21" s="70">
        <f>E21+D21</f>
        <v>43400.344904690006</v>
      </c>
      <c r="G21" s="69">
        <f>G22*G23/1000</f>
        <v>29006.257110000002</v>
      </c>
      <c r="H21" s="69">
        <f>+H22*H23/1000</f>
        <v>25032.967991999998</v>
      </c>
      <c r="I21" s="70">
        <f>H21+G21</f>
        <v>54039.225102</v>
      </c>
      <c r="J21" s="69">
        <f>J22*J23/1000</f>
        <v>25652.180640000002</v>
      </c>
      <c r="K21" s="69">
        <f>+K22*K23/1000</f>
        <v>30741.47475</v>
      </c>
      <c r="L21" s="54">
        <f>K21+J21</f>
        <v>56393.65539</v>
      </c>
    </row>
    <row r="22" spans="1:12" s="13" customFormat="1" ht="15" hidden="1" outlineLevel="1">
      <c r="A22" s="14"/>
      <c r="B22" s="15" t="s">
        <v>190</v>
      </c>
      <c r="C22" s="14" t="s">
        <v>192</v>
      </c>
      <c r="D22" s="71">
        <v>9711.462</v>
      </c>
      <c r="E22" s="71">
        <v>8242.117</v>
      </c>
      <c r="F22" s="70">
        <f>E22+D22</f>
        <v>17953.578999999998</v>
      </c>
      <c r="G22" s="71">
        <v>12340.2</v>
      </c>
      <c r="H22" s="71">
        <v>11727.9</v>
      </c>
      <c r="I22" s="70">
        <f>H22+G22</f>
        <v>24068.1</v>
      </c>
      <c r="J22" s="72">
        <v>12018</v>
      </c>
      <c r="K22" s="72">
        <v>11239</v>
      </c>
      <c r="L22" s="49">
        <f>K22+J22</f>
        <v>23257</v>
      </c>
    </row>
    <row r="23" spans="1:12" s="13" customFormat="1" ht="30" customHeight="1" hidden="1" outlineLevel="1">
      <c r="A23" s="14"/>
      <c r="B23" s="15" t="s">
        <v>193</v>
      </c>
      <c r="C23" s="14" t="s">
        <v>191</v>
      </c>
      <c r="D23" s="69">
        <f>D44+D34</f>
        <v>2474.07</v>
      </c>
      <c r="E23" s="69">
        <f>E44+E34</f>
        <v>2350.55</v>
      </c>
      <c r="F23" s="69"/>
      <c r="G23" s="69">
        <f>G44+G34</f>
        <v>2350.55</v>
      </c>
      <c r="H23" s="69">
        <f>H44+H34</f>
        <v>2134.48</v>
      </c>
      <c r="I23" s="70"/>
      <c r="J23" s="69">
        <f>J44+J34</f>
        <v>2134.48</v>
      </c>
      <c r="K23" s="69">
        <f>K44+K34</f>
        <v>2735.25</v>
      </c>
      <c r="L23" s="54"/>
    </row>
    <row r="24" spans="1:12" s="13" customFormat="1" ht="15" hidden="1" outlineLevel="1">
      <c r="A24" s="14"/>
      <c r="B24" s="15" t="s">
        <v>189</v>
      </c>
      <c r="C24" s="14"/>
      <c r="D24" s="73">
        <f>D30</f>
        <v>118762.948</v>
      </c>
      <c r="E24" s="73">
        <f>E30</f>
        <v>112020.74599999998</v>
      </c>
      <c r="F24" s="74">
        <f>E24+D24</f>
        <v>230783.694</v>
      </c>
      <c r="G24" s="73">
        <f>G30</f>
        <v>118659.82407999999</v>
      </c>
      <c r="H24" s="73">
        <f>H30</f>
        <v>112530.17592000001</v>
      </c>
      <c r="I24" s="74">
        <f>H24+G24</f>
        <v>231190</v>
      </c>
      <c r="J24" s="73">
        <f>J30</f>
        <v>118192</v>
      </c>
      <c r="K24" s="73">
        <f>K30</f>
        <v>110551</v>
      </c>
      <c r="L24" s="54">
        <f>K24+J24</f>
        <v>228743</v>
      </c>
    </row>
    <row r="25" spans="1:12" s="13" customFormat="1" ht="25.5" customHeight="1" collapsed="1">
      <c r="A25" s="14"/>
      <c r="B25" s="15" t="s">
        <v>109</v>
      </c>
      <c r="C25" s="14" t="s">
        <v>104</v>
      </c>
      <c r="D25" s="75">
        <f>D26/D30*1000</f>
        <v>750.4165048407774</v>
      </c>
      <c r="E25" s="75">
        <f>E26/E30*1000</f>
        <v>854.5119717378068</v>
      </c>
      <c r="F25" s="74">
        <f>F26/F30*1000</f>
        <v>800.9436961466914</v>
      </c>
      <c r="G25" s="75">
        <f>I25</f>
        <v>860.8613049958908</v>
      </c>
      <c r="H25" s="75">
        <f>I25</f>
        <v>860.8613049958908</v>
      </c>
      <c r="I25" s="74">
        <f>I26/I30*1000</f>
        <v>860.8613049958908</v>
      </c>
      <c r="J25" s="74">
        <f>H25</f>
        <v>860.8613049958908</v>
      </c>
      <c r="K25" s="74">
        <f>K26/K30*1000</f>
        <v>1108.5719353956604</v>
      </c>
      <c r="L25" s="55">
        <f>L26/L30*1000</f>
        <v>980.5793199791906</v>
      </c>
    </row>
    <row r="26" spans="1:12" s="13" customFormat="1" ht="25.5" customHeight="1" hidden="1" outlineLevel="1">
      <c r="A26" s="14"/>
      <c r="B26" s="15" t="s">
        <v>168</v>
      </c>
      <c r="C26" s="14"/>
      <c r="D26" s="56">
        <v>89121.676342747</v>
      </c>
      <c r="E26" s="56">
        <v>95723.06854000002</v>
      </c>
      <c r="F26" s="54">
        <f>E26+D26</f>
        <v>184844.744882747</v>
      </c>
      <c r="G26" s="58">
        <f>G25*G30/1000</f>
        <v>102149.65100809162</v>
      </c>
      <c r="H26" s="58">
        <f>H25*H30/1000</f>
        <v>96872.87409390837</v>
      </c>
      <c r="I26" s="58">
        <f>'передача Северк'!E10</f>
        <v>199022.52510199999</v>
      </c>
      <c r="J26" s="58">
        <f>J25*J30/1000</f>
        <v>101746.91936007433</v>
      </c>
      <c r="K26" s="54">
        <f>L26-J26</f>
        <v>122553.73602992567</v>
      </c>
      <c r="L26" s="54">
        <f>L27+L28+L29</f>
        <v>224300.65539</v>
      </c>
    </row>
    <row r="27" spans="1:12" s="13" customFormat="1" ht="25.5" customHeight="1" hidden="1" outlineLevel="1">
      <c r="A27" s="14"/>
      <c r="B27" s="15" t="s">
        <v>185</v>
      </c>
      <c r="C27" s="14"/>
      <c r="D27" s="54">
        <f>D21</f>
        <v>24026.83679034</v>
      </c>
      <c r="E27" s="54">
        <f>E21</f>
        <v>19373.508114350003</v>
      </c>
      <c r="F27" s="54">
        <f>E27+D27</f>
        <v>43400.344904690006</v>
      </c>
      <c r="G27" s="54">
        <f>G21</f>
        <v>29006.257110000002</v>
      </c>
      <c r="H27" s="54">
        <f>H21</f>
        <v>25032.967991999998</v>
      </c>
      <c r="I27" s="54">
        <f>H27+G27</f>
        <v>54039.225102</v>
      </c>
      <c r="J27" s="54">
        <f>J21</f>
        <v>25652.180640000002</v>
      </c>
      <c r="K27" s="54">
        <f>K21</f>
        <v>30741.47475</v>
      </c>
      <c r="L27" s="54">
        <f>K27+J27</f>
        <v>56393.65539</v>
      </c>
    </row>
    <row r="28" spans="1:12" s="13" customFormat="1" ht="25.5" customHeight="1" hidden="1" outlineLevel="1">
      <c r="A28" s="14"/>
      <c r="B28" s="15" t="s">
        <v>187</v>
      </c>
      <c r="C28" s="14"/>
      <c r="D28" s="56">
        <v>6309.93169</v>
      </c>
      <c r="E28" s="54">
        <f>F28-D28</f>
        <v>10098.94225</v>
      </c>
      <c r="F28" s="54">
        <f>'передача Северк'!D37</f>
        <v>16408.87394</v>
      </c>
      <c r="G28" s="54">
        <f>I28/I30*G30</f>
        <v>6061.202735879337</v>
      </c>
      <c r="H28" s="54">
        <f>I28-G28</f>
        <v>5748.097264120663</v>
      </c>
      <c r="I28" s="54">
        <f>'передача Северк'!E37</f>
        <v>11809.3</v>
      </c>
      <c r="J28" s="54">
        <f>L28/L30*J30</f>
        <v>6200.425805379837</v>
      </c>
      <c r="K28" s="54">
        <f>L28-J28</f>
        <v>5799.574194620163</v>
      </c>
      <c r="L28" s="54">
        <f>'передача Северк'!F37</f>
        <v>12000</v>
      </c>
    </row>
    <row r="29" spans="1:12" s="13" customFormat="1" ht="25.5" customHeight="1" hidden="1" outlineLevel="1">
      <c r="A29" s="14"/>
      <c r="B29" s="15" t="s">
        <v>188</v>
      </c>
      <c r="C29" s="14"/>
      <c r="D29" s="54">
        <f>D26-D27-D28</f>
        <v>58784.907862407</v>
      </c>
      <c r="E29" s="54">
        <f>E26-E27-E28</f>
        <v>66250.61817565002</v>
      </c>
      <c r="F29" s="54">
        <f>F26-F27-F28</f>
        <v>125035.52603805701</v>
      </c>
      <c r="G29" s="54">
        <f>G26-G27-G28</f>
        <v>67082.19116221227</v>
      </c>
      <c r="H29" s="54">
        <f>H26-H27-H28</f>
        <v>66091.8088377877</v>
      </c>
      <c r="I29" s="58">
        <f>'передача Северк'!E59</f>
        <v>133174</v>
      </c>
      <c r="J29" s="58">
        <f>J26-J27-J28</f>
        <v>69894.31291469448</v>
      </c>
      <c r="K29" s="54">
        <f>L29-J29</f>
        <v>86012.68708530552</v>
      </c>
      <c r="L29" s="64">
        <f>'передача Северк'!F59</f>
        <v>155907</v>
      </c>
    </row>
    <row r="30" spans="1:12" s="13" customFormat="1" ht="25.5" customHeight="1" hidden="1" outlineLevel="1">
      <c r="A30" s="14"/>
      <c r="B30" s="15" t="s">
        <v>169</v>
      </c>
      <c r="C30" s="14"/>
      <c r="D30" s="33">
        <v>118762.948</v>
      </c>
      <c r="E30" s="33">
        <f>230783.694-D30</f>
        <v>112020.74599999998</v>
      </c>
      <c r="F30" s="49">
        <f>E30+D30</f>
        <v>230783.694</v>
      </c>
      <c r="G30" s="33">
        <v>118659.82407999999</v>
      </c>
      <c r="H30" s="33">
        <f>231190-G30</f>
        <v>112530.17592000001</v>
      </c>
      <c r="I30" s="49">
        <f>H30+G30</f>
        <v>231190</v>
      </c>
      <c r="J30" s="33">
        <v>118192</v>
      </c>
      <c r="K30" s="33">
        <v>110551</v>
      </c>
      <c r="L30" s="49">
        <f>K30+J30</f>
        <v>228743</v>
      </c>
    </row>
    <row r="31" spans="1:12" s="13" customFormat="1" ht="40.5" customHeight="1" collapsed="1">
      <c r="A31" s="14" t="s">
        <v>13</v>
      </c>
      <c r="B31" s="15" t="s">
        <v>110</v>
      </c>
      <c r="C31" s="14" t="s">
        <v>104</v>
      </c>
      <c r="D31" s="16"/>
      <c r="E31" s="16"/>
      <c r="F31" s="16"/>
      <c r="G31" s="16"/>
      <c r="H31" s="16"/>
      <c r="I31" s="16"/>
      <c r="J31" s="16"/>
      <c r="K31" s="16"/>
      <c r="L31" s="32"/>
    </row>
    <row r="32" spans="1:12" s="13" customFormat="1" ht="25.5" customHeight="1" hidden="1" outlineLevel="1">
      <c r="A32" s="14" t="s">
        <v>17</v>
      </c>
      <c r="B32" s="15" t="s">
        <v>111</v>
      </c>
      <c r="C32" s="14"/>
      <c r="D32" s="16"/>
      <c r="E32" s="16"/>
      <c r="F32" s="16"/>
      <c r="G32" s="16"/>
      <c r="H32" s="16"/>
      <c r="I32" s="16"/>
      <c r="J32" s="16"/>
      <c r="K32" s="16"/>
      <c r="L32" s="32"/>
    </row>
    <row r="33" spans="1:12" s="13" customFormat="1" ht="54" customHeight="1" hidden="1" outlineLevel="1">
      <c r="A33" s="14" t="s">
        <v>18</v>
      </c>
      <c r="B33" s="15" t="s">
        <v>112</v>
      </c>
      <c r="C33" s="14" t="s">
        <v>104</v>
      </c>
      <c r="D33" s="65">
        <f>-3057673/62801817*1000</f>
        <v>-48.687651823831786</v>
      </c>
      <c r="E33" s="65">
        <f>-499835/59911337*1000</f>
        <v>-8.342911793138583</v>
      </c>
      <c r="F33" s="49"/>
      <c r="G33" s="65">
        <v>244.31</v>
      </c>
      <c r="H33" s="65">
        <v>156.178262698552</v>
      </c>
      <c r="I33" s="49"/>
      <c r="J33" s="65">
        <v>156.178262698552</v>
      </c>
      <c r="K33" s="65">
        <v>312.463495194028</v>
      </c>
      <c r="L33" s="47"/>
    </row>
    <row r="34" spans="1:12" s="13" customFormat="1" ht="66.75" customHeight="1" hidden="1" outlineLevel="1">
      <c r="A34" s="14" t="s">
        <v>20</v>
      </c>
      <c r="B34" s="15" t="s">
        <v>113</v>
      </c>
      <c r="C34" s="14" t="s">
        <v>104</v>
      </c>
      <c r="D34" s="65">
        <v>1027.4</v>
      </c>
      <c r="E34" s="65">
        <v>863.2</v>
      </c>
      <c r="F34" s="49"/>
      <c r="G34" s="66">
        <f>E34</f>
        <v>863.2</v>
      </c>
      <c r="H34" s="65">
        <v>617.39</v>
      </c>
      <c r="I34" s="49"/>
      <c r="J34" s="66">
        <f>H34</f>
        <v>617.39</v>
      </c>
      <c r="K34" s="65">
        <v>1142.31</v>
      </c>
      <c r="L34" s="48"/>
    </row>
    <row r="35" spans="1:12" s="13" customFormat="1" ht="27" customHeight="1" hidden="1" outlineLevel="1">
      <c r="A35" s="14" t="s">
        <v>22</v>
      </c>
      <c r="B35" s="15" t="s">
        <v>114</v>
      </c>
      <c r="C35" s="14" t="s">
        <v>16</v>
      </c>
      <c r="D35" s="33"/>
      <c r="E35" s="33"/>
      <c r="F35" s="48"/>
      <c r="G35" s="33"/>
      <c r="H35" s="33"/>
      <c r="I35" s="48"/>
      <c r="J35" s="33"/>
      <c r="K35" s="33"/>
      <c r="L35" s="48"/>
    </row>
    <row r="36" spans="1:12" s="13" customFormat="1" ht="27" customHeight="1" hidden="1" outlineLevel="1">
      <c r="A36" s="14"/>
      <c r="B36" s="15" t="s">
        <v>115</v>
      </c>
      <c r="C36" s="14" t="s">
        <v>16</v>
      </c>
      <c r="D36" s="34">
        <f>D37/D44</f>
        <v>0.10105967497770742</v>
      </c>
      <c r="E36" s="34">
        <f>E37/E44</f>
        <v>0.13399670555013954</v>
      </c>
      <c r="F36" s="50"/>
      <c r="G36" s="34">
        <f>G37/G44</f>
        <v>0.13399670555013954</v>
      </c>
      <c r="H36" s="34">
        <f>H37/H44</f>
        <v>0.1826984555959106</v>
      </c>
      <c r="I36" s="50"/>
      <c r="J36" s="34">
        <f>J37/J44</f>
        <v>0.1826984555959106</v>
      </c>
      <c r="K36" s="34">
        <f>K37/K44</f>
        <v>0.23143997890692683</v>
      </c>
      <c r="L36" s="50"/>
    </row>
    <row r="37" spans="1:12" s="13" customFormat="1" ht="27" customHeight="1" hidden="1" outlineLevel="2">
      <c r="A37" s="14"/>
      <c r="B37" s="15"/>
      <c r="C37" s="14" t="s">
        <v>104</v>
      </c>
      <c r="D37" s="65">
        <f>0.1462*1000</f>
        <v>146.2</v>
      </c>
      <c r="E37" s="65">
        <f>0.1993*1000</f>
        <v>199.3</v>
      </c>
      <c r="F37" s="50"/>
      <c r="G37" s="65">
        <f>0.1993*1000</f>
        <v>199.3</v>
      </c>
      <c r="H37" s="65">
        <f>0.27717*1000</f>
        <v>277.17</v>
      </c>
      <c r="I37" s="50"/>
      <c r="J37" s="65">
        <f>0.27717*1000</f>
        <v>277.17</v>
      </c>
      <c r="K37" s="65">
        <f>0.36867*1000</f>
        <v>368.67</v>
      </c>
      <c r="L37" s="50"/>
    </row>
    <row r="38" spans="1:12" s="13" customFormat="1" ht="27" customHeight="1" hidden="1" outlineLevel="1">
      <c r="A38" s="14"/>
      <c r="B38" s="15" t="s">
        <v>116</v>
      </c>
      <c r="C38" s="14" t="s">
        <v>16</v>
      </c>
      <c r="D38" s="34">
        <f>D39/D44</f>
        <v>0.0949767396849316</v>
      </c>
      <c r="E38" s="34">
        <f>E39/E44</f>
        <v>0.12653376811107003</v>
      </c>
      <c r="F38" s="50"/>
      <c r="G38" s="34">
        <f>G39/G44</f>
        <v>0.12650015127575892</v>
      </c>
      <c r="H38" s="34">
        <f>H39/H44</f>
        <v>0.17149938368850892</v>
      </c>
      <c r="I38" s="50"/>
      <c r="J38" s="34">
        <f>J39/J44</f>
        <v>0.17149938368850892</v>
      </c>
      <c r="K38" s="34">
        <f>K39/K44</f>
        <v>0.2182379750649742</v>
      </c>
      <c r="L38" s="50"/>
    </row>
    <row r="39" spans="1:12" s="13" customFormat="1" ht="27" customHeight="1" hidden="1" outlineLevel="2">
      <c r="A39" s="14"/>
      <c r="B39" s="15"/>
      <c r="C39" s="14" t="s">
        <v>104</v>
      </c>
      <c r="D39" s="65">
        <f>0.1374*1000</f>
        <v>137.4</v>
      </c>
      <c r="E39" s="65">
        <f>0.1882*1000</f>
        <v>188.20000000000002</v>
      </c>
      <c r="F39" s="50"/>
      <c r="G39" s="65">
        <f>0.18815*1000</f>
        <v>188.15</v>
      </c>
      <c r="H39" s="65">
        <f>0.26018*1000</f>
        <v>260.18</v>
      </c>
      <c r="I39" s="50"/>
      <c r="J39" s="65">
        <f>0.26018*1000</f>
        <v>260.18</v>
      </c>
      <c r="K39" s="65">
        <f>0.34764*1000</f>
        <v>347.64</v>
      </c>
      <c r="L39" s="50"/>
    </row>
    <row r="40" spans="1:12" s="13" customFormat="1" ht="27" customHeight="1" hidden="1" outlineLevel="1">
      <c r="A40" s="14"/>
      <c r="B40" s="15" t="s">
        <v>117</v>
      </c>
      <c r="C40" s="14" t="s">
        <v>16</v>
      </c>
      <c r="D40" s="34">
        <f>D41/D44</f>
        <v>0.06041460733961443</v>
      </c>
      <c r="E40" s="34">
        <f>E41/E44</f>
        <v>0.08000806804047468</v>
      </c>
      <c r="F40" s="50"/>
      <c r="G40" s="34">
        <f>G41/G44</f>
        <v>0.08000134467341245</v>
      </c>
      <c r="H40" s="34">
        <f>H41/H44</f>
        <v>0.10920248633897793</v>
      </c>
      <c r="I40" s="50"/>
      <c r="J40" s="34">
        <f>J41/J44</f>
        <v>0.10920248633897793</v>
      </c>
      <c r="K40" s="34">
        <f>K41/K44</f>
        <v>0.13815962936457116</v>
      </c>
      <c r="L40" s="50"/>
    </row>
    <row r="41" spans="1:12" s="13" customFormat="1" ht="27" customHeight="1" hidden="1" outlineLevel="2">
      <c r="A41" s="14"/>
      <c r="B41" s="15"/>
      <c r="C41" s="14" t="s">
        <v>104</v>
      </c>
      <c r="D41" s="65">
        <f>0.0874*1000</f>
        <v>87.4</v>
      </c>
      <c r="E41" s="65">
        <f>0.119*1000</f>
        <v>119</v>
      </c>
      <c r="F41" s="50"/>
      <c r="G41" s="65">
        <f>0.11899*1000</f>
        <v>118.99</v>
      </c>
      <c r="H41" s="65">
        <f>0.16567*1000</f>
        <v>165.67000000000002</v>
      </c>
      <c r="I41" s="50"/>
      <c r="J41" s="65">
        <f>0.16567*1000</f>
        <v>165.67000000000002</v>
      </c>
      <c r="K41" s="65">
        <f>0.22008*1000</f>
        <v>220.07999999999998</v>
      </c>
      <c r="L41" s="50"/>
    </row>
    <row r="42" spans="1:12" s="13" customFormat="1" ht="27" customHeight="1" hidden="1" outlineLevel="1">
      <c r="A42" s="14"/>
      <c r="B42" s="15" t="s">
        <v>118</v>
      </c>
      <c r="C42" s="14" t="s">
        <v>16</v>
      </c>
      <c r="D42" s="34">
        <f>D43/D44</f>
        <v>0</v>
      </c>
      <c r="E42" s="34">
        <f>E43/E44</f>
        <v>0</v>
      </c>
      <c r="F42" s="50"/>
      <c r="G42" s="34">
        <f>G43/G44</f>
        <v>0</v>
      </c>
      <c r="H42" s="34">
        <f>H43/H44</f>
        <v>0</v>
      </c>
      <c r="I42" s="50"/>
      <c r="J42" s="34">
        <f>J43/J44</f>
        <v>0</v>
      </c>
      <c r="K42" s="34">
        <f>K43/K44</f>
        <v>0</v>
      </c>
      <c r="L42" s="50"/>
    </row>
    <row r="43" spans="1:12" s="13" customFormat="1" ht="27" customHeight="1" hidden="1" outlineLevel="2">
      <c r="A43" s="14"/>
      <c r="B43" s="15"/>
      <c r="C43" s="14" t="s">
        <v>104</v>
      </c>
      <c r="D43" s="65">
        <v>0</v>
      </c>
      <c r="E43" s="65">
        <v>0</v>
      </c>
      <c r="F43" s="50"/>
      <c r="G43" s="65">
        <v>0</v>
      </c>
      <c r="H43" s="65">
        <v>0</v>
      </c>
      <c r="I43" s="50"/>
      <c r="J43" s="65">
        <v>0</v>
      </c>
      <c r="K43" s="65">
        <v>0</v>
      </c>
      <c r="L43" s="50"/>
    </row>
    <row r="44" spans="1:12" s="13" customFormat="1" ht="27" customHeight="1" hidden="1" outlineLevel="1">
      <c r="A44" s="14" t="s">
        <v>28</v>
      </c>
      <c r="B44" s="15" t="s">
        <v>119</v>
      </c>
      <c r="C44" s="14" t="s">
        <v>16</v>
      </c>
      <c r="D44" s="33">
        <v>1446.67</v>
      </c>
      <c r="E44" s="65">
        <v>1487.35</v>
      </c>
      <c r="F44" s="49"/>
      <c r="G44" s="66">
        <f>E44</f>
        <v>1487.35</v>
      </c>
      <c r="H44" s="65">
        <v>1517.09</v>
      </c>
      <c r="I44" s="49"/>
      <c r="J44" s="67">
        <f>H44</f>
        <v>1517.09</v>
      </c>
      <c r="K44" s="68">
        <v>1592.94</v>
      </c>
      <c r="L44" s="54"/>
    </row>
    <row r="45" spans="1:12" s="13" customFormat="1" ht="27" customHeight="1" hidden="1" outlineLevel="1">
      <c r="A45" s="14" t="s">
        <v>30</v>
      </c>
      <c r="B45" s="15" t="s">
        <v>120</v>
      </c>
      <c r="C45" s="14" t="s">
        <v>121</v>
      </c>
      <c r="D45" s="16"/>
      <c r="E45" s="16"/>
      <c r="F45" s="16"/>
      <c r="G45" s="16"/>
      <c r="H45" s="16"/>
      <c r="I45" s="16"/>
      <c r="J45" s="16"/>
      <c r="K45" s="16"/>
      <c r="L45" s="32"/>
    </row>
    <row r="46" spans="1:12" s="13" customFormat="1" ht="27" customHeight="1" hidden="1" outlineLevel="1">
      <c r="A46" s="14"/>
      <c r="B46" s="15" t="s">
        <v>122</v>
      </c>
      <c r="C46" s="14" t="s">
        <v>121</v>
      </c>
      <c r="D46" s="16"/>
      <c r="E46" s="16"/>
      <c r="F46" s="16"/>
      <c r="G46" s="16"/>
      <c r="H46" s="16"/>
      <c r="I46" s="16"/>
      <c r="J46" s="16"/>
      <c r="K46" s="16"/>
      <c r="L46" s="32"/>
    </row>
    <row r="47" spans="1:12" s="13" customFormat="1" ht="27" customHeight="1" hidden="1" outlineLevel="1">
      <c r="A47" s="14" t="s">
        <v>34</v>
      </c>
      <c r="B47" s="15" t="s">
        <v>123</v>
      </c>
      <c r="C47" s="14" t="s">
        <v>103</v>
      </c>
      <c r="D47" s="16"/>
      <c r="E47" s="16"/>
      <c r="F47" s="16"/>
      <c r="G47" s="16"/>
      <c r="H47" s="16"/>
      <c r="I47" s="16"/>
      <c r="J47" s="16"/>
      <c r="K47" s="16"/>
      <c r="L47" s="32"/>
    </row>
    <row r="48" spans="1:12" s="13" customFormat="1" ht="40.5" customHeight="1" hidden="1" outlineLevel="1">
      <c r="A48" s="14" t="s">
        <v>35</v>
      </c>
      <c r="B48" s="15" t="s">
        <v>124</v>
      </c>
      <c r="C48" s="14" t="s">
        <v>125</v>
      </c>
      <c r="D48" s="16"/>
      <c r="E48" s="16"/>
      <c r="F48" s="16"/>
      <c r="G48" s="16"/>
      <c r="H48" s="16"/>
      <c r="I48" s="16"/>
      <c r="J48" s="16"/>
      <c r="K48" s="16"/>
      <c r="L48" s="32"/>
    </row>
    <row r="49" spans="1:12" s="13" customFormat="1" ht="27" customHeight="1" hidden="1" outlineLevel="1">
      <c r="A49" s="14" t="s">
        <v>126</v>
      </c>
      <c r="B49" s="15" t="s">
        <v>127</v>
      </c>
      <c r="C49" s="14" t="s">
        <v>125</v>
      </c>
      <c r="D49" s="16"/>
      <c r="E49" s="16"/>
      <c r="F49" s="16"/>
      <c r="G49" s="16"/>
      <c r="H49" s="16"/>
      <c r="I49" s="16"/>
      <c r="J49" s="16"/>
      <c r="K49" s="16"/>
      <c r="L49" s="32"/>
    </row>
    <row r="50" spans="1:12" s="13" customFormat="1" ht="27" customHeight="1" hidden="1" outlineLevel="1">
      <c r="A50" s="14" t="s">
        <v>128</v>
      </c>
      <c r="B50" s="15" t="s">
        <v>129</v>
      </c>
      <c r="C50" s="14" t="s">
        <v>125</v>
      </c>
      <c r="D50" s="16"/>
      <c r="E50" s="16"/>
      <c r="F50" s="16"/>
      <c r="G50" s="16"/>
      <c r="H50" s="16"/>
      <c r="I50" s="16"/>
      <c r="J50" s="16"/>
      <c r="K50" s="16"/>
      <c r="L50" s="32"/>
    </row>
    <row r="51" spans="1:12" s="13" customFormat="1" ht="27" customHeight="1" hidden="1" outlineLevel="1">
      <c r="A51" s="14"/>
      <c r="B51" s="15" t="s">
        <v>142</v>
      </c>
      <c r="C51" s="14" t="s">
        <v>125</v>
      </c>
      <c r="D51" s="16"/>
      <c r="E51" s="16"/>
      <c r="F51" s="16"/>
      <c r="G51" s="16"/>
      <c r="H51" s="16"/>
      <c r="I51" s="16"/>
      <c r="J51" s="16"/>
      <c r="K51" s="16"/>
      <c r="L51" s="32"/>
    </row>
    <row r="52" spans="1:12" s="13" customFormat="1" ht="27" customHeight="1" hidden="1" outlineLevel="1">
      <c r="A52" s="14"/>
      <c r="B52" s="15" t="s">
        <v>143</v>
      </c>
      <c r="C52" s="14" t="s">
        <v>125</v>
      </c>
      <c r="D52" s="16"/>
      <c r="E52" s="16"/>
      <c r="F52" s="16"/>
      <c r="G52" s="16"/>
      <c r="H52" s="16"/>
      <c r="I52" s="16"/>
      <c r="J52" s="16"/>
      <c r="K52" s="16"/>
      <c r="L52" s="32"/>
    </row>
    <row r="53" spans="1:12" s="13" customFormat="1" ht="27" customHeight="1" hidden="1" outlineLevel="1">
      <c r="A53" s="14"/>
      <c r="B53" s="15" t="s">
        <v>144</v>
      </c>
      <c r="C53" s="14" t="s">
        <v>125</v>
      </c>
      <c r="D53" s="16"/>
      <c r="E53" s="16"/>
      <c r="F53" s="16"/>
      <c r="G53" s="16"/>
      <c r="H53" s="16"/>
      <c r="I53" s="16"/>
      <c r="J53" s="16"/>
      <c r="K53" s="16"/>
      <c r="L53" s="32"/>
    </row>
    <row r="54" spans="1:12" s="13" customFormat="1" ht="27" customHeight="1" hidden="1" outlineLevel="1">
      <c r="A54" s="14"/>
      <c r="B54" s="15" t="s">
        <v>145</v>
      </c>
      <c r="C54" s="14" t="s">
        <v>125</v>
      </c>
      <c r="D54" s="16"/>
      <c r="E54" s="16"/>
      <c r="F54" s="16"/>
      <c r="G54" s="16"/>
      <c r="H54" s="16"/>
      <c r="I54" s="16"/>
      <c r="J54" s="16"/>
      <c r="K54" s="16"/>
      <c r="L54" s="32"/>
    </row>
    <row r="55" spans="1:12" s="13" customFormat="1" ht="27" customHeight="1" hidden="1" outlineLevel="1">
      <c r="A55" s="14" t="s">
        <v>130</v>
      </c>
      <c r="B55" s="15" t="s">
        <v>131</v>
      </c>
      <c r="C55" s="14" t="s">
        <v>125</v>
      </c>
      <c r="D55" s="16"/>
      <c r="E55" s="16"/>
      <c r="F55" s="16"/>
      <c r="G55" s="16"/>
      <c r="H55" s="16"/>
      <c r="I55" s="16"/>
      <c r="J55" s="16"/>
      <c r="K55" s="16"/>
      <c r="L55" s="32"/>
    </row>
    <row r="56" spans="1:12" s="13" customFormat="1" ht="27" customHeight="1" hidden="1" outlineLevel="1">
      <c r="A56" s="14" t="s">
        <v>36</v>
      </c>
      <c r="B56" s="15" t="s">
        <v>132</v>
      </c>
      <c r="C56" s="14"/>
      <c r="D56" s="16"/>
      <c r="E56" s="16"/>
      <c r="F56" s="16"/>
      <c r="G56" s="16"/>
      <c r="H56" s="16"/>
      <c r="I56" s="16"/>
      <c r="J56" s="16"/>
      <c r="K56" s="16"/>
      <c r="L56" s="32"/>
    </row>
    <row r="57" spans="1:12" s="13" customFormat="1" ht="27" customHeight="1" hidden="1" outlineLevel="1">
      <c r="A57" s="14" t="s">
        <v>37</v>
      </c>
      <c r="B57" s="15" t="s">
        <v>133</v>
      </c>
      <c r="C57" s="14" t="s">
        <v>134</v>
      </c>
      <c r="D57" s="16"/>
      <c r="E57" s="16"/>
      <c r="F57" s="16"/>
      <c r="G57" s="16"/>
      <c r="H57" s="16"/>
      <c r="I57" s="16"/>
      <c r="J57" s="16"/>
      <c r="K57" s="16"/>
      <c r="L57" s="32"/>
    </row>
    <row r="58" spans="1:12" s="13" customFormat="1" ht="27" customHeight="1" hidden="1" outlineLevel="1">
      <c r="A58" s="14" t="s">
        <v>135</v>
      </c>
      <c r="B58" s="15" t="s">
        <v>136</v>
      </c>
      <c r="C58" s="14" t="s">
        <v>125</v>
      </c>
      <c r="D58" s="16"/>
      <c r="E58" s="16"/>
      <c r="F58" s="16"/>
      <c r="G58" s="16"/>
      <c r="H58" s="16"/>
      <c r="I58" s="16"/>
      <c r="J58" s="16"/>
      <c r="K58" s="16"/>
      <c r="L58" s="32"/>
    </row>
    <row r="59" spans="1:12" s="13" customFormat="1" ht="27" customHeight="1" hidden="1" outlineLevel="1">
      <c r="A59" s="14" t="s">
        <v>137</v>
      </c>
      <c r="B59" s="15" t="s">
        <v>138</v>
      </c>
      <c r="C59" s="14" t="s">
        <v>139</v>
      </c>
      <c r="D59" s="16"/>
      <c r="E59" s="16"/>
      <c r="F59" s="16"/>
      <c r="G59" s="16"/>
      <c r="H59" s="16"/>
      <c r="I59" s="16"/>
      <c r="J59" s="16"/>
      <c r="K59" s="16"/>
      <c r="L59" s="32"/>
    </row>
    <row r="60" spans="1:12" s="13" customFormat="1" ht="27" customHeight="1" hidden="1" outlineLevel="1">
      <c r="A60" s="14"/>
      <c r="B60" s="15" t="s">
        <v>140</v>
      </c>
      <c r="C60" s="14" t="s">
        <v>139</v>
      </c>
      <c r="D60" s="16"/>
      <c r="E60" s="16"/>
      <c r="F60" s="16"/>
      <c r="G60" s="16"/>
      <c r="H60" s="16"/>
      <c r="I60" s="16"/>
      <c r="J60" s="16"/>
      <c r="K60" s="16"/>
      <c r="L60" s="32"/>
    </row>
    <row r="61" spans="1:12" s="13" customFormat="1" ht="27" customHeight="1" hidden="1" outlineLevel="1">
      <c r="A61" s="14"/>
      <c r="B61" s="15" t="s">
        <v>141</v>
      </c>
      <c r="C61" s="14" t="s">
        <v>139</v>
      </c>
      <c r="D61" s="16"/>
      <c r="E61" s="16"/>
      <c r="F61" s="16"/>
      <c r="G61" s="16"/>
      <c r="H61" s="16"/>
      <c r="I61" s="16"/>
      <c r="J61" s="16"/>
      <c r="K61" s="16"/>
      <c r="L61" s="32"/>
    </row>
    <row r="62" spans="1:12" s="13" customFormat="1" ht="27" customHeight="1" hidden="1" outlineLevel="1">
      <c r="A62" s="14"/>
      <c r="B62" s="15" t="s">
        <v>194</v>
      </c>
      <c r="C62" s="14"/>
      <c r="D62" s="16"/>
      <c r="E62" s="16"/>
      <c r="F62" s="16"/>
      <c r="G62" s="16"/>
      <c r="H62" s="16"/>
      <c r="I62" s="16"/>
      <c r="J62" s="16"/>
      <c r="K62" s="16"/>
      <c r="L62" s="32"/>
    </row>
    <row r="63" spans="1:12" s="13" customFormat="1" ht="27" customHeight="1" hidden="1" outlineLevel="1">
      <c r="A63" s="14"/>
      <c r="B63" s="15" t="s">
        <v>115</v>
      </c>
      <c r="C63" s="14" t="s">
        <v>104</v>
      </c>
      <c r="D63" s="52">
        <f>D37+D44+D25</f>
        <v>2343.2865048407775</v>
      </c>
      <c r="E63" s="52">
        <f>E37+E44+E25</f>
        <v>2541.1619717378067</v>
      </c>
      <c r="F63" s="16"/>
      <c r="G63" s="52">
        <f>G37+G44+G25</f>
        <v>2547.511304995891</v>
      </c>
      <c r="H63" s="52">
        <f>H37+H44+H25</f>
        <v>2655.1213049958906</v>
      </c>
      <c r="I63" s="16"/>
      <c r="J63" s="52">
        <f>J37+J44+J25</f>
        <v>2655.1213049958906</v>
      </c>
      <c r="K63" s="52">
        <f>K37+K44+K25</f>
        <v>3070.1819353956607</v>
      </c>
      <c r="L63" s="32"/>
    </row>
    <row r="64" spans="1:12" s="13" customFormat="1" ht="27" customHeight="1" hidden="1" outlineLevel="1">
      <c r="A64" s="14"/>
      <c r="B64" s="15" t="s">
        <v>116</v>
      </c>
      <c r="C64" s="14" t="s">
        <v>104</v>
      </c>
      <c r="D64" s="52">
        <f>D39+D44+D25</f>
        <v>2334.4865048407773</v>
      </c>
      <c r="E64" s="52">
        <f>E39+E44+E25</f>
        <v>2530.0619717378067</v>
      </c>
      <c r="F64" s="16"/>
      <c r="G64" s="52">
        <f>G39+G44+G25</f>
        <v>2536.361304995891</v>
      </c>
      <c r="H64" s="52">
        <f>H39+H44+H25</f>
        <v>2638.131304995891</v>
      </c>
      <c r="I64" s="16"/>
      <c r="J64" s="52">
        <f>J39+J44+J25</f>
        <v>2638.131304995891</v>
      </c>
      <c r="K64" s="52">
        <f>K39+K44+K25</f>
        <v>3049.15193539566</v>
      </c>
      <c r="L64" s="32"/>
    </row>
    <row r="65" spans="1:12" s="13" customFormat="1" ht="27" customHeight="1" hidden="1" outlineLevel="1">
      <c r="A65" s="14"/>
      <c r="B65" s="15" t="s">
        <v>117</v>
      </c>
      <c r="C65" s="14" t="s">
        <v>104</v>
      </c>
      <c r="D65" s="52">
        <f>D44+D41+D25</f>
        <v>2284.4865048407773</v>
      </c>
      <c r="E65" s="52">
        <f>E44+E41+E25</f>
        <v>2460.861971737807</v>
      </c>
      <c r="F65" s="16"/>
      <c r="G65" s="52">
        <f>G44+G41+G25</f>
        <v>2467.2013049958905</v>
      </c>
      <c r="H65" s="52">
        <f>H44+H41+H25</f>
        <v>2543.6213049958906</v>
      </c>
      <c r="I65" s="16"/>
      <c r="J65" s="52">
        <f>J44+J41+J25</f>
        <v>2543.6213049958906</v>
      </c>
      <c r="K65" s="52">
        <f>K44+K41+K25</f>
        <v>2921.5919353956606</v>
      </c>
      <c r="L65" s="32"/>
    </row>
    <row r="66" spans="1:12" s="13" customFormat="1" ht="27" customHeight="1" hidden="1" outlineLevel="1">
      <c r="A66" s="14"/>
      <c r="B66" s="15" t="s">
        <v>118</v>
      </c>
      <c r="C66" s="14" t="s">
        <v>104</v>
      </c>
      <c r="D66" s="16"/>
      <c r="E66" s="16"/>
      <c r="F66" s="16"/>
      <c r="G66" s="16"/>
      <c r="H66" s="16"/>
      <c r="I66" s="16"/>
      <c r="J66" s="16"/>
      <c r="K66" s="16"/>
      <c r="L66" s="32"/>
    </row>
    <row r="67" s="7" customFormat="1" ht="17.25" customHeight="1" collapsed="1">
      <c r="A67" s="6" t="s">
        <v>146</v>
      </c>
    </row>
    <row r="74" ht="15.75"/>
    <row r="80" ht="15.75"/>
    <row r="81" ht="15.75"/>
    <row r="82" ht="15.75"/>
  </sheetData>
  <sheetProtection password="CF5C" sheet="1" objects="1" scenarios="1"/>
  <mergeCells count="11">
    <mergeCell ref="A5:K5"/>
    <mergeCell ref="H1:K1"/>
    <mergeCell ref="A8:A9"/>
    <mergeCell ref="B8:B9"/>
    <mergeCell ref="C8:C9"/>
    <mergeCell ref="D8:E8"/>
    <mergeCell ref="D10:E10"/>
    <mergeCell ref="G10:H10"/>
    <mergeCell ref="J10:K10"/>
    <mergeCell ref="G8:H8"/>
    <mergeCell ref="J8:K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portrait" paperSize="9" scale="56" r:id="rId3"/>
  <headerFooter alignWithMargins="0">
    <oddHeader>&amp;R&amp;"Times New Roman,обычный"&amp;7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pane xSplit="3" ySplit="5" topLeftCell="D27" activePane="bottomRight" state="split"/>
      <selection pane="topLeft" activeCell="A4" sqref="A4"/>
      <selection pane="topRight" activeCell="D4" sqref="D4"/>
      <selection pane="bottomLeft" activeCell="A9" sqref="A9"/>
      <selection pane="bottomRight" activeCell="F59" sqref="F59"/>
      <selection pane="topLeft" activeCell="E10" sqref="E9:E10"/>
    </sheetView>
  </sheetViews>
  <sheetFormatPr defaultColWidth="9.00390625" defaultRowHeight="12.75" outlineLevelRow="1"/>
  <cols>
    <col min="1" max="1" width="6.625" style="1" customWidth="1"/>
    <col min="2" max="2" width="31.00390625" style="1" customWidth="1"/>
    <col min="3" max="3" width="12.25390625" style="1" customWidth="1"/>
    <col min="4" max="6" width="40.125" style="1" customWidth="1"/>
    <col min="7" max="16384" width="9.125" style="1" customWidth="1"/>
  </cols>
  <sheetData>
    <row r="1" ht="54" customHeight="1">
      <c r="F1" s="3" t="s">
        <v>57</v>
      </c>
    </row>
    <row r="2" ht="15.75"/>
    <row r="3" ht="15.75"/>
    <row r="4" spans="1:6" ht="31.5" customHeight="1">
      <c r="A4" s="79" t="s">
        <v>78</v>
      </c>
      <c r="B4" s="78"/>
      <c r="C4" s="78"/>
      <c r="D4" s="78"/>
      <c r="E4" s="78"/>
      <c r="F4" s="78"/>
    </row>
    <row r="5" ht="15.75"/>
    <row r="6" ht="15.75"/>
    <row r="7" spans="1:6" s="2" customFormat="1" ht="47.25">
      <c r="A7" s="30" t="s">
        <v>53</v>
      </c>
      <c r="B7" s="30" t="s">
        <v>0</v>
      </c>
      <c r="C7" s="30" t="s">
        <v>1</v>
      </c>
      <c r="D7" s="30" t="s">
        <v>56</v>
      </c>
      <c r="E7" s="30" t="s">
        <v>55</v>
      </c>
      <c r="F7" s="30" t="s">
        <v>54</v>
      </c>
    </row>
    <row r="8" spans="1:6" s="2" customFormat="1" ht="15.75" hidden="1" outlineLevel="1">
      <c r="A8" s="30"/>
      <c r="B8" s="30"/>
      <c r="C8" s="30"/>
      <c r="D8" s="30">
        <v>2013</v>
      </c>
      <c r="E8" s="30">
        <v>2014</v>
      </c>
      <c r="F8" s="30">
        <v>2015</v>
      </c>
    </row>
    <row r="9" spans="1:6" s="4" customFormat="1" ht="35.25" customHeight="1" collapsed="1">
      <c r="A9" s="20" t="s">
        <v>2</v>
      </c>
      <c r="B9" s="21" t="s">
        <v>3</v>
      </c>
      <c r="C9" s="20"/>
      <c r="D9" s="22"/>
      <c r="E9" s="22"/>
      <c r="F9" s="22"/>
    </row>
    <row r="10" spans="1:6" s="4" customFormat="1" ht="28.5" customHeight="1">
      <c r="A10" s="20" t="s">
        <v>4</v>
      </c>
      <c r="B10" s="21" t="s">
        <v>5</v>
      </c>
      <c r="C10" s="20" t="s">
        <v>6</v>
      </c>
      <c r="D10" s="26">
        <f>D59+D37+D39</f>
        <v>14102.3</v>
      </c>
      <c r="E10" s="26">
        <f>E59+E37+E39</f>
        <v>12798.457</v>
      </c>
      <c r="F10" s="26">
        <f>F59+F37+F39</f>
        <v>15110.87985</v>
      </c>
    </row>
    <row r="11" spans="1:6" s="4" customFormat="1" ht="28.5" customHeight="1">
      <c r="A11" s="20" t="s">
        <v>7</v>
      </c>
      <c r="B11" s="21" t="s">
        <v>8</v>
      </c>
      <c r="C11" s="20" t="s">
        <v>6</v>
      </c>
      <c r="D11" s="26">
        <f>D58</f>
        <v>-2434</v>
      </c>
      <c r="E11" s="26">
        <f>E58</f>
        <v>558</v>
      </c>
      <c r="F11" s="26">
        <f>F58</f>
        <v>1141</v>
      </c>
    </row>
    <row r="12" spans="1:6" s="4" customFormat="1" ht="59.25" customHeight="1">
      <c r="A12" s="20" t="s">
        <v>9</v>
      </c>
      <c r="B12" s="21" t="s">
        <v>10</v>
      </c>
      <c r="C12" s="20" t="s">
        <v>6</v>
      </c>
      <c r="D12" s="26">
        <f>D11+D34</f>
        <v>-1636</v>
      </c>
      <c r="E12" s="26">
        <f>E11+E34</f>
        <v>1391</v>
      </c>
      <c r="F12" s="26">
        <f>F11+F34</f>
        <v>1930</v>
      </c>
    </row>
    <row r="13" spans="1:6" s="4" customFormat="1" ht="27.75" customHeight="1">
      <c r="A13" s="20" t="s">
        <v>11</v>
      </c>
      <c r="B13" s="21" t="s">
        <v>12</v>
      </c>
      <c r="C13" s="20" t="s">
        <v>6</v>
      </c>
      <c r="D13" s="35">
        <v>0</v>
      </c>
      <c r="E13" s="36">
        <v>0</v>
      </c>
      <c r="F13" s="35">
        <v>0</v>
      </c>
    </row>
    <row r="14" spans="1:6" s="4" customFormat="1" ht="41.25" customHeight="1">
      <c r="A14" s="20" t="s">
        <v>13</v>
      </c>
      <c r="B14" s="21" t="s">
        <v>14</v>
      </c>
      <c r="C14" s="20"/>
      <c r="D14" s="22"/>
      <c r="E14" s="22"/>
      <c r="F14" s="22"/>
    </row>
    <row r="15" spans="1:6" s="4" customFormat="1" ht="94.5">
      <c r="A15" s="20" t="s">
        <v>15</v>
      </c>
      <c r="B15" s="21" t="s">
        <v>65</v>
      </c>
      <c r="C15" s="20" t="s">
        <v>16</v>
      </c>
      <c r="D15" s="31">
        <f>D11/D10</f>
        <v>-0.17259595952433293</v>
      </c>
      <c r="E15" s="31">
        <f>E11/E10</f>
        <v>0.04359900572389312</v>
      </c>
      <c r="F15" s="31">
        <f>F11/F10</f>
        <v>0.07550850852672222</v>
      </c>
    </row>
    <row r="16" spans="1:6" s="4" customFormat="1" ht="58.5" customHeight="1">
      <c r="A16" s="20" t="s">
        <v>17</v>
      </c>
      <c r="B16" s="21" t="s">
        <v>64</v>
      </c>
      <c r="C16" s="20"/>
      <c r="D16" s="22"/>
      <c r="E16" s="22"/>
      <c r="F16" s="22"/>
    </row>
    <row r="17" spans="1:6" s="4" customFormat="1" ht="60.75" customHeight="1">
      <c r="A17" s="20" t="s">
        <v>18</v>
      </c>
      <c r="B17" s="21" t="s">
        <v>58</v>
      </c>
      <c r="C17" s="20" t="s">
        <v>19</v>
      </c>
      <c r="D17" s="25"/>
      <c r="E17" s="25"/>
      <c r="F17" s="25"/>
    </row>
    <row r="18" spans="1:6" s="4" customFormat="1" ht="39.75" customHeight="1">
      <c r="A18" s="20" t="s">
        <v>20</v>
      </c>
      <c r="B18" s="21" t="s">
        <v>59</v>
      </c>
      <c r="C18" s="20" t="s">
        <v>21</v>
      </c>
      <c r="D18" s="25"/>
      <c r="E18" s="25"/>
      <c r="F18" s="25"/>
    </row>
    <row r="19" spans="1:6" s="5" customFormat="1" ht="24.75" customHeight="1">
      <c r="A19" s="20" t="s">
        <v>22</v>
      </c>
      <c r="B19" s="21" t="s">
        <v>60</v>
      </c>
      <c r="C19" s="20" t="s">
        <v>19</v>
      </c>
      <c r="D19" s="36">
        <v>1.53</v>
      </c>
      <c r="E19" s="36">
        <v>1.93</v>
      </c>
      <c r="F19" s="36">
        <f>E19</f>
        <v>1.93</v>
      </c>
    </row>
    <row r="20" spans="1:6" s="4" customFormat="1" ht="39" customHeight="1">
      <c r="A20" s="20" t="s">
        <v>173</v>
      </c>
      <c r="B20" s="21" t="s">
        <v>172</v>
      </c>
      <c r="C20" s="20" t="s">
        <v>61</v>
      </c>
      <c r="D20" s="35">
        <v>13240</v>
      </c>
      <c r="E20" s="35">
        <v>16540</v>
      </c>
      <c r="F20" s="35">
        <v>15036</v>
      </c>
    </row>
    <row r="21" spans="1:6" s="4" customFormat="1" ht="76.5" customHeight="1">
      <c r="A21" s="20" t="s">
        <v>24</v>
      </c>
      <c r="B21" s="21" t="s">
        <v>62</v>
      </c>
      <c r="C21" s="20" t="s">
        <v>23</v>
      </c>
      <c r="D21" s="35">
        <v>7183.23</v>
      </c>
      <c r="E21" s="35">
        <f>D21</f>
        <v>7183.23</v>
      </c>
      <c r="F21" s="35">
        <f>E21</f>
        <v>7183.23</v>
      </c>
    </row>
    <row r="22" spans="1:6" s="4" customFormat="1" ht="110.25">
      <c r="A22" s="20" t="s">
        <v>25</v>
      </c>
      <c r="B22" s="21" t="s">
        <v>63</v>
      </c>
      <c r="C22" s="20" t="s">
        <v>16</v>
      </c>
      <c r="D22" s="23" t="s">
        <v>181</v>
      </c>
      <c r="E22" s="23" t="s">
        <v>182</v>
      </c>
      <c r="F22" s="23" t="s">
        <v>183</v>
      </c>
    </row>
    <row r="23" spans="1:6" s="4" customFormat="1" ht="141.75">
      <c r="A23" s="20" t="s">
        <v>26</v>
      </c>
      <c r="B23" s="21" t="s">
        <v>66</v>
      </c>
      <c r="C23" s="20"/>
      <c r="D23" s="23" t="s">
        <v>170</v>
      </c>
      <c r="E23" s="23" t="s">
        <v>170</v>
      </c>
      <c r="F23" s="23" t="s">
        <v>171</v>
      </c>
    </row>
    <row r="24" spans="1:6" s="4" customFormat="1" ht="93.75">
      <c r="A24" s="20" t="s">
        <v>27</v>
      </c>
      <c r="B24" s="21" t="s">
        <v>67</v>
      </c>
      <c r="C24" s="20" t="s">
        <v>21</v>
      </c>
      <c r="D24" s="25"/>
      <c r="E24" s="25"/>
      <c r="F24" s="25"/>
    </row>
    <row r="25" spans="1:6" s="4" customFormat="1" ht="72" customHeight="1">
      <c r="A25" s="20" t="s">
        <v>28</v>
      </c>
      <c r="B25" s="21" t="s">
        <v>29</v>
      </c>
      <c r="C25" s="20"/>
      <c r="D25" s="26">
        <f>D10</f>
        <v>14102.3</v>
      </c>
      <c r="E25" s="26">
        <f>E10</f>
        <v>12798.457</v>
      </c>
      <c r="F25" s="26">
        <f>F10</f>
        <v>15110.87985</v>
      </c>
    </row>
    <row r="26" spans="1:6" s="4" customFormat="1" ht="90" customHeight="1">
      <c r="A26" s="20" t="s">
        <v>30</v>
      </c>
      <c r="B26" s="21" t="s">
        <v>160</v>
      </c>
      <c r="C26" s="20" t="s">
        <v>6</v>
      </c>
      <c r="D26" s="38">
        <f>D28+D29+D30</f>
        <v>7124.999999999999</v>
      </c>
      <c r="E26" s="38">
        <f>E28+E29+E30</f>
        <v>8654</v>
      </c>
      <c r="F26" s="38">
        <f>F28+F29+F30</f>
        <v>10732</v>
      </c>
    </row>
    <row r="27" spans="1:6" s="4" customFormat="1" ht="27" customHeight="1">
      <c r="A27" s="20"/>
      <c r="B27" s="21" t="s">
        <v>68</v>
      </c>
      <c r="C27" s="20"/>
      <c r="D27" s="26"/>
      <c r="E27" s="22"/>
      <c r="F27" s="22"/>
    </row>
    <row r="28" spans="1:6" s="4" customFormat="1" ht="27" customHeight="1">
      <c r="A28" s="20"/>
      <c r="B28" s="21" t="s">
        <v>31</v>
      </c>
      <c r="C28" s="20"/>
      <c r="D28" s="35">
        <f>6090+1592</f>
        <v>7682</v>
      </c>
      <c r="E28" s="36">
        <f>5138+1552</f>
        <v>6690</v>
      </c>
      <c r="F28" s="36">
        <f>5808+1754</f>
        <v>7562</v>
      </c>
    </row>
    <row r="29" spans="1:6" s="4" customFormat="1" ht="27" customHeight="1">
      <c r="A29" s="20"/>
      <c r="B29" s="21" t="s">
        <v>32</v>
      </c>
      <c r="C29" s="20"/>
      <c r="D29" s="35">
        <v>33</v>
      </c>
      <c r="E29" s="36">
        <v>0</v>
      </c>
      <c r="F29" s="36">
        <v>0</v>
      </c>
    </row>
    <row r="30" spans="1:6" s="4" customFormat="1" ht="27" customHeight="1">
      <c r="A30" s="20"/>
      <c r="B30" s="21" t="s">
        <v>33</v>
      </c>
      <c r="C30" s="20"/>
      <c r="D30" s="26">
        <f>D59+D37+D39-D29-D28-D32-D40-D41</f>
        <v>-590.0000000000009</v>
      </c>
      <c r="E30" s="26">
        <f>E59+E37+E39-E29-E28-E32-E40-E41</f>
        <v>1964</v>
      </c>
      <c r="F30" s="26">
        <f>F59+F37+F39-F29-F28-F32-F40-F41</f>
        <v>3170</v>
      </c>
    </row>
    <row r="31" spans="1:6" s="4" customFormat="1" ht="27" customHeight="1" hidden="1" outlineLevel="1">
      <c r="A31" s="20"/>
      <c r="B31" s="29" t="s">
        <v>161</v>
      </c>
      <c r="C31" s="20"/>
      <c r="D31" s="26"/>
      <c r="E31" s="26"/>
      <c r="F31" s="26"/>
    </row>
    <row r="32" spans="1:6" s="4" customFormat="1" ht="85.5" customHeight="1" collapsed="1">
      <c r="A32" s="20" t="s">
        <v>34</v>
      </c>
      <c r="B32" s="21" t="s">
        <v>69</v>
      </c>
      <c r="C32" s="20" t="s">
        <v>6</v>
      </c>
      <c r="D32" s="26">
        <f>SUM(D33:D39)</f>
        <v>6977.3</v>
      </c>
      <c r="E32" s="26">
        <f>SUM(E33:E39)</f>
        <v>4144.457</v>
      </c>
      <c r="F32" s="26">
        <f>SUM(F33:F39)</f>
        <v>4378.879849999999</v>
      </c>
    </row>
    <row r="33" spans="1:6" s="4" customFormat="1" ht="38.25" customHeight="1" hidden="1" outlineLevel="1">
      <c r="A33" s="20"/>
      <c r="B33" s="28" t="s">
        <v>153</v>
      </c>
      <c r="C33" s="20"/>
      <c r="D33" s="35">
        <v>0</v>
      </c>
      <c r="E33" s="36">
        <v>0</v>
      </c>
      <c r="F33" s="36">
        <v>0</v>
      </c>
    </row>
    <row r="34" spans="1:6" s="4" customFormat="1" ht="47.25" hidden="1" outlineLevel="1">
      <c r="A34" s="20"/>
      <c r="B34" s="28" t="s">
        <v>156</v>
      </c>
      <c r="C34" s="20"/>
      <c r="D34" s="35">
        <v>798</v>
      </c>
      <c r="E34" s="36">
        <v>833</v>
      </c>
      <c r="F34" s="35">
        <v>789</v>
      </c>
    </row>
    <row r="35" spans="1:6" s="4" customFormat="1" ht="94.5" hidden="1" outlineLevel="1">
      <c r="A35" s="20"/>
      <c r="B35" s="28" t="s">
        <v>159</v>
      </c>
      <c r="C35" s="20"/>
      <c r="D35" s="35">
        <v>0</v>
      </c>
      <c r="E35" s="36">
        <v>0</v>
      </c>
      <c r="F35" s="36">
        <v>0</v>
      </c>
    </row>
    <row r="36" spans="1:6" s="4" customFormat="1" ht="84" customHeight="1" hidden="1" outlineLevel="1">
      <c r="A36" s="20"/>
      <c r="B36" s="28" t="s">
        <v>154</v>
      </c>
      <c r="C36" s="20"/>
      <c r="D36" s="35">
        <v>0</v>
      </c>
      <c r="E36" s="36">
        <v>686</v>
      </c>
      <c r="F36" s="36">
        <v>844</v>
      </c>
    </row>
    <row r="37" spans="1:6" s="4" customFormat="1" ht="78.75" hidden="1" outlineLevel="1">
      <c r="A37" s="20"/>
      <c r="B37" s="28" t="s">
        <v>155</v>
      </c>
      <c r="C37" s="20"/>
      <c r="D37" s="35">
        <v>0</v>
      </c>
      <c r="E37" s="36">
        <v>0</v>
      </c>
      <c r="F37" s="36">
        <v>0</v>
      </c>
    </row>
    <row r="38" spans="1:6" s="4" customFormat="1" ht="78.75" hidden="1" outlineLevel="1">
      <c r="A38" s="20"/>
      <c r="B38" s="21" t="s">
        <v>158</v>
      </c>
      <c r="C38" s="20"/>
      <c r="D38" s="35">
        <v>6</v>
      </c>
      <c r="E38" s="36">
        <v>17</v>
      </c>
      <c r="F38" s="36">
        <v>7</v>
      </c>
    </row>
    <row r="39" spans="1:6" s="4" customFormat="1" ht="63" hidden="1" outlineLevel="1">
      <c r="A39" s="20"/>
      <c r="B39" s="21" t="s">
        <v>157</v>
      </c>
      <c r="C39" s="20"/>
      <c r="D39" s="35">
        <v>6173.3</v>
      </c>
      <c r="E39" s="46">
        <v>2608.457</v>
      </c>
      <c r="F39" s="35">
        <f>E39*1.05</f>
        <v>2738.87985</v>
      </c>
    </row>
    <row r="40" spans="1:6" s="4" customFormat="1" ht="60.75" customHeight="1" collapsed="1">
      <c r="A40" s="20" t="s">
        <v>35</v>
      </c>
      <c r="B40" s="21" t="s">
        <v>70</v>
      </c>
      <c r="C40" s="20" t="s">
        <v>6</v>
      </c>
      <c r="D40" s="36">
        <v>0</v>
      </c>
      <c r="E40" s="36">
        <v>0</v>
      </c>
      <c r="F40" s="35">
        <v>0</v>
      </c>
    </row>
    <row r="41" spans="1:6" s="4" customFormat="1" ht="43.5" customHeight="1">
      <c r="A41" s="20" t="s">
        <v>36</v>
      </c>
      <c r="B41" s="21" t="s">
        <v>79</v>
      </c>
      <c r="C41" s="20" t="s">
        <v>6</v>
      </c>
      <c r="D41" s="22">
        <v>0</v>
      </c>
      <c r="E41" s="22">
        <v>0</v>
      </c>
      <c r="F41" s="26">
        <v>0</v>
      </c>
    </row>
    <row r="42" spans="1:6" s="4" customFormat="1" ht="70.5" customHeight="1">
      <c r="A42" s="20" t="s">
        <v>37</v>
      </c>
      <c r="B42" s="21" t="s">
        <v>38</v>
      </c>
      <c r="C42" s="20"/>
      <c r="D42" s="22" t="s">
        <v>167</v>
      </c>
      <c r="E42" s="22" t="s">
        <v>167</v>
      </c>
      <c r="F42" s="27" t="s">
        <v>164</v>
      </c>
    </row>
    <row r="43" spans="1:6" s="4" customFormat="1" ht="27" customHeight="1">
      <c r="A43" s="20"/>
      <c r="B43" s="24" t="s">
        <v>39</v>
      </c>
      <c r="C43" s="20"/>
      <c r="D43" s="22"/>
      <c r="E43" s="22"/>
      <c r="F43" s="22"/>
    </row>
    <row r="44" spans="1:6" s="4" customFormat="1" ht="30.75" customHeight="1">
      <c r="A44" s="20"/>
      <c r="B44" s="21" t="s">
        <v>71</v>
      </c>
      <c r="C44" s="20" t="s">
        <v>40</v>
      </c>
      <c r="D44" s="36">
        <v>373.847</v>
      </c>
      <c r="E44" s="36">
        <v>376.16200000000003</v>
      </c>
      <c r="F44" s="36">
        <v>378.7</v>
      </c>
    </row>
    <row r="45" spans="1:6" s="4" customFormat="1" ht="37.5">
      <c r="A45" s="20"/>
      <c r="B45" s="21" t="s">
        <v>72</v>
      </c>
      <c r="C45" s="20" t="s">
        <v>41</v>
      </c>
      <c r="D45" s="43">
        <f>D32/D44</f>
        <v>18.663517428252735</v>
      </c>
      <c r="E45" s="43">
        <f>E32/E44</f>
        <v>11.017745014116258</v>
      </c>
      <c r="F45" s="43">
        <f>F32/F44</f>
        <v>11.562925402693423</v>
      </c>
    </row>
    <row r="46" spans="1:6" s="4" customFormat="1" ht="72.75" customHeight="1">
      <c r="A46" s="20" t="s">
        <v>42</v>
      </c>
      <c r="B46" s="21" t="s">
        <v>43</v>
      </c>
      <c r="C46" s="20"/>
      <c r="D46" s="22"/>
      <c r="E46" s="22"/>
      <c r="F46" s="22"/>
    </row>
    <row r="47" spans="1:6" s="4" customFormat="1" ht="41.25" customHeight="1">
      <c r="A47" s="20" t="s">
        <v>44</v>
      </c>
      <c r="B47" s="21" t="s">
        <v>45</v>
      </c>
      <c r="C47" s="20" t="s">
        <v>46</v>
      </c>
      <c r="D47" s="35">
        <v>22.732994253807103</v>
      </c>
      <c r="E47" s="44">
        <v>19.610614216872342</v>
      </c>
      <c r="F47" s="44">
        <v>19.610614216872342</v>
      </c>
    </row>
    <row r="48" spans="1:6" s="4" customFormat="1" ht="47.25">
      <c r="A48" s="20" t="s">
        <v>47</v>
      </c>
      <c r="B48" s="21" t="s">
        <v>48</v>
      </c>
      <c r="C48" s="20" t="s">
        <v>73</v>
      </c>
      <c r="D48" s="35">
        <v>22325.38095866415</v>
      </c>
      <c r="E48" s="35">
        <f>5138/12*1000/E47</f>
        <v>21833.414391390448</v>
      </c>
      <c r="F48" s="35">
        <v>25049.030655425027</v>
      </c>
    </row>
    <row r="49" spans="1:6" s="4" customFormat="1" ht="102.75" customHeight="1">
      <c r="A49" s="20" t="s">
        <v>49</v>
      </c>
      <c r="B49" s="21" t="s">
        <v>50</v>
      </c>
      <c r="C49" s="20"/>
      <c r="D49" s="23" t="s">
        <v>163</v>
      </c>
      <c r="E49" s="27" t="s">
        <v>162</v>
      </c>
      <c r="F49" s="27" t="s">
        <v>162</v>
      </c>
    </row>
    <row r="50" spans="1:6" s="4" customFormat="1" ht="27" customHeight="1">
      <c r="A50" s="20"/>
      <c r="B50" s="24" t="s">
        <v>39</v>
      </c>
      <c r="C50" s="20"/>
      <c r="D50" s="22"/>
      <c r="E50" s="22"/>
      <c r="F50" s="22"/>
    </row>
    <row r="51" spans="1:6" s="4" customFormat="1" ht="65.25" customHeight="1">
      <c r="A51" s="20"/>
      <c r="B51" s="21" t="s">
        <v>51</v>
      </c>
      <c r="C51" s="20" t="s">
        <v>6</v>
      </c>
      <c r="D51" s="22">
        <v>36561</v>
      </c>
      <c r="E51" s="22">
        <f>D51-15000</f>
        <v>21561</v>
      </c>
      <c r="F51" s="22">
        <f>E51</f>
        <v>21561</v>
      </c>
    </row>
    <row r="52" spans="1:6" s="4" customFormat="1" ht="68.25" customHeight="1">
      <c r="A52" s="20"/>
      <c r="B52" s="21" t="s">
        <v>52</v>
      </c>
      <c r="C52" s="20" t="s">
        <v>6</v>
      </c>
      <c r="D52" s="22">
        <f>70539-D51</f>
        <v>33978</v>
      </c>
      <c r="E52" s="22">
        <f>88663+10000-15000-62820+15000</f>
        <v>35843</v>
      </c>
      <c r="F52" s="26">
        <f>(88663+10000+F13-15000)-(62820+F41)</f>
        <v>20843</v>
      </c>
    </row>
    <row r="53" s="7" customFormat="1" ht="19.5" customHeight="1">
      <c r="A53" s="6" t="s">
        <v>74</v>
      </c>
    </row>
    <row r="54" s="7" customFormat="1" ht="15.75">
      <c r="A54" s="6" t="s">
        <v>75</v>
      </c>
    </row>
    <row r="55" s="7" customFormat="1" ht="15.75">
      <c r="A55" s="6" t="s">
        <v>76</v>
      </c>
    </row>
    <row r="56" s="7" customFormat="1" ht="15.75">
      <c r="A56" s="6" t="s">
        <v>77</v>
      </c>
    </row>
    <row r="57" spans="1:6" ht="31.5" hidden="1" outlineLevel="1">
      <c r="A57" s="20"/>
      <c r="B57" s="21" t="s">
        <v>174</v>
      </c>
      <c r="C57" s="20" t="s">
        <v>6</v>
      </c>
      <c r="D57" s="42">
        <v>10363</v>
      </c>
      <c r="E57" s="42">
        <v>9632</v>
      </c>
      <c r="F57" s="42">
        <v>11231</v>
      </c>
    </row>
    <row r="58" spans="1:6" ht="15.75" hidden="1" outlineLevel="1">
      <c r="A58" s="20"/>
      <c r="B58" s="21" t="s">
        <v>8</v>
      </c>
      <c r="C58" s="20"/>
      <c r="D58" s="40">
        <f>D59-D57</f>
        <v>-2434</v>
      </c>
      <c r="E58" s="40">
        <f>E59-E57</f>
        <v>558</v>
      </c>
      <c r="F58" s="40">
        <f>F59-F57</f>
        <v>1141</v>
      </c>
    </row>
    <row r="59" spans="1:6" ht="17.25" customHeight="1" hidden="1" outlineLevel="1">
      <c r="A59" s="20"/>
      <c r="B59" s="21" t="s">
        <v>175</v>
      </c>
      <c r="C59" s="20" t="s">
        <v>6</v>
      </c>
      <c r="D59" s="42">
        <v>7929</v>
      </c>
      <c r="E59" s="42">
        <v>10190</v>
      </c>
      <c r="F59" s="42">
        <v>12372</v>
      </c>
    </row>
    <row r="60" spans="1:6" ht="15.75" collapsed="1">
      <c r="A60" s="39"/>
      <c r="B60" s="39" t="s">
        <v>176</v>
      </c>
      <c r="C60" s="39"/>
      <c r="D60" s="41">
        <f>D25-D26-D32-D40-D41</f>
        <v>0</v>
      </c>
      <c r="E60" s="41">
        <f>E25-E26-E32-E40-E41</f>
        <v>0</v>
      </c>
      <c r="F60" s="41">
        <f>F25-F26-F32-F40-F41</f>
        <v>0</v>
      </c>
    </row>
  </sheetData>
  <sheetProtection password="CF5C" sheet="1" objects="1" scenarios="1"/>
  <mergeCells count="1">
    <mergeCell ref="A4:F4"/>
  </mergeCells>
  <printOptions/>
  <pageMargins left="0.7874015748031497" right="0.2" top="0.23" bottom="0.3937007874015748" header="0.2" footer="0.1968503937007874"/>
  <pageSetup blackAndWhite="1" horizontalDpi="600" verticalDpi="600" orientation="portrait" paperSize="9" scale="55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workbookViewId="0" topLeftCell="A7">
      <pane xSplit="2" ySplit="3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" sqref="L1:L16384"/>
      <selection pane="topLeft" activeCell="A7" sqref="A7"/>
      <selection pane="topRight" activeCell="C7" sqref="C7"/>
      <selection pane="bottomLeft" activeCell="A10" sqref="A10"/>
      <selection pane="bottomRight" activeCell="M14" sqref="M14"/>
    </sheetView>
  </sheetViews>
  <sheetFormatPr defaultColWidth="9.00390625" defaultRowHeight="12.75" outlineLevelRow="1" outlineLevelCol="1"/>
  <cols>
    <col min="1" max="1" width="7.75390625" style="1" customWidth="1"/>
    <col min="2" max="2" width="45.00390625" style="1" customWidth="1"/>
    <col min="3" max="3" width="17.00390625" style="1" customWidth="1"/>
    <col min="4" max="4" width="15.25390625" style="1" bestFit="1" customWidth="1"/>
    <col min="5" max="5" width="15.125" style="1" bestFit="1" customWidth="1"/>
    <col min="6" max="6" width="11.375" style="1" hidden="1" customWidth="1" outlineLevel="1"/>
    <col min="7" max="7" width="15.25390625" style="1" bestFit="1" customWidth="1" collapsed="1"/>
    <col min="8" max="8" width="15.25390625" style="1" bestFit="1" customWidth="1"/>
    <col min="9" max="9" width="12.125" style="1" hidden="1" customWidth="1" outlineLevel="1"/>
    <col min="10" max="10" width="15.125" style="1" bestFit="1" customWidth="1" collapsed="1"/>
    <col min="11" max="11" width="15.875" style="1" bestFit="1" customWidth="1"/>
    <col min="12" max="12" width="13.125" style="1" hidden="1" customWidth="1" outlineLevel="1"/>
    <col min="13" max="13" width="9.125" style="1" customWidth="1" collapsed="1"/>
    <col min="14" max="16384" width="9.125" style="1" customWidth="1"/>
  </cols>
  <sheetData>
    <row r="1" spans="8:11" ht="54" customHeight="1">
      <c r="H1" s="81" t="s">
        <v>93</v>
      </c>
      <c r="I1" s="81"/>
      <c r="J1" s="81"/>
      <c r="K1" s="81"/>
    </row>
    <row r="5" spans="1:11" ht="16.5">
      <c r="A5" s="79" t="s">
        <v>94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8" spans="1:12" s="12" customFormat="1" ht="60.75" customHeight="1">
      <c r="A8" s="82" t="s">
        <v>53</v>
      </c>
      <c r="B8" s="80" t="s">
        <v>0</v>
      </c>
      <c r="C8" s="80" t="s">
        <v>95</v>
      </c>
      <c r="D8" s="80" t="s">
        <v>96</v>
      </c>
      <c r="E8" s="80"/>
      <c r="F8" s="11"/>
      <c r="G8" s="80" t="s">
        <v>97</v>
      </c>
      <c r="H8" s="80"/>
      <c r="I8" s="11"/>
      <c r="J8" s="80" t="s">
        <v>98</v>
      </c>
      <c r="K8" s="80"/>
      <c r="L8" s="53"/>
    </row>
    <row r="9" spans="1:12" s="13" customFormat="1" ht="30" customHeight="1">
      <c r="A9" s="82"/>
      <c r="B9" s="80"/>
      <c r="C9" s="80"/>
      <c r="D9" s="11" t="s">
        <v>99</v>
      </c>
      <c r="E9" s="11" t="s">
        <v>100</v>
      </c>
      <c r="F9" s="11" t="s">
        <v>180</v>
      </c>
      <c r="G9" s="11" t="s">
        <v>99</v>
      </c>
      <c r="H9" s="11" t="s">
        <v>100</v>
      </c>
      <c r="I9" s="11"/>
      <c r="J9" s="11" t="s">
        <v>99</v>
      </c>
      <c r="K9" s="11" t="s">
        <v>100</v>
      </c>
      <c r="L9" s="32"/>
    </row>
    <row r="10" spans="1:12" s="13" customFormat="1" ht="12.75" customHeight="1">
      <c r="A10" s="18"/>
      <c r="B10" s="11"/>
      <c r="C10" s="11"/>
      <c r="D10" s="80">
        <v>2013</v>
      </c>
      <c r="E10" s="80"/>
      <c r="F10" s="11"/>
      <c r="G10" s="80">
        <v>2014</v>
      </c>
      <c r="H10" s="80"/>
      <c r="I10" s="11"/>
      <c r="J10" s="80">
        <v>2015</v>
      </c>
      <c r="K10" s="80"/>
      <c r="L10" s="32"/>
    </row>
    <row r="11" spans="1:12" s="13" customFormat="1" ht="39" customHeight="1">
      <c r="A11" s="14" t="s">
        <v>2</v>
      </c>
      <c r="B11" s="15" t="s">
        <v>101</v>
      </c>
      <c r="C11" s="14"/>
      <c r="D11" s="16"/>
      <c r="E11" s="16"/>
      <c r="F11" s="16"/>
      <c r="G11" s="16"/>
      <c r="H11" s="16"/>
      <c r="I11" s="16"/>
      <c r="J11" s="16"/>
      <c r="K11" s="16"/>
      <c r="L11" s="32"/>
    </row>
    <row r="12" spans="1:12" s="13" customFormat="1" ht="39" customHeight="1">
      <c r="A12" s="14" t="s">
        <v>4</v>
      </c>
      <c r="B12" s="15" t="s">
        <v>102</v>
      </c>
      <c r="C12" s="14"/>
      <c r="D12" s="16"/>
      <c r="E12" s="16"/>
      <c r="F12" s="16"/>
      <c r="G12" s="16"/>
      <c r="H12" s="16"/>
      <c r="I12" s="16"/>
      <c r="J12" s="16"/>
      <c r="K12" s="16"/>
      <c r="L12" s="32"/>
    </row>
    <row r="13" spans="1:12" s="13" customFormat="1" ht="173.25" customHeight="1">
      <c r="A13" s="14"/>
      <c r="B13" s="15" t="s">
        <v>165</v>
      </c>
      <c r="C13" s="14" t="s">
        <v>103</v>
      </c>
      <c r="D13" s="16"/>
      <c r="E13" s="16"/>
      <c r="F13" s="16"/>
      <c r="G13" s="16"/>
      <c r="H13" s="16"/>
      <c r="I13" s="16"/>
      <c r="J13" s="16"/>
      <c r="K13" s="16"/>
      <c r="L13" s="32"/>
    </row>
    <row r="14" spans="1:12" s="13" customFormat="1" ht="169.5" customHeight="1">
      <c r="A14" s="14"/>
      <c r="B14" s="15" t="s">
        <v>166</v>
      </c>
      <c r="C14" s="14" t="s">
        <v>104</v>
      </c>
      <c r="D14" s="16"/>
      <c r="E14" s="16"/>
      <c r="F14" s="16"/>
      <c r="G14" s="16"/>
      <c r="H14" s="16"/>
      <c r="I14" s="16"/>
      <c r="J14" s="16"/>
      <c r="K14" s="16"/>
      <c r="L14" s="32"/>
    </row>
    <row r="15" spans="1:12" s="13" customFormat="1" ht="39" customHeight="1">
      <c r="A15" s="14" t="s">
        <v>7</v>
      </c>
      <c r="B15" s="15" t="s">
        <v>105</v>
      </c>
      <c r="C15" s="14"/>
      <c r="D15" s="16"/>
      <c r="E15" s="16"/>
      <c r="F15" s="16"/>
      <c r="G15" s="16"/>
      <c r="H15" s="16"/>
      <c r="I15" s="16"/>
      <c r="J15" s="16"/>
      <c r="K15" s="16"/>
      <c r="L15" s="32"/>
    </row>
    <row r="16" spans="1:12" s="13" customFormat="1" ht="25.5" customHeight="1">
      <c r="A16" s="14"/>
      <c r="B16" s="15" t="s">
        <v>106</v>
      </c>
      <c r="C16" s="14"/>
      <c r="D16" s="16"/>
      <c r="E16" s="16"/>
      <c r="F16" s="16"/>
      <c r="G16" s="16"/>
      <c r="H16" s="16"/>
      <c r="I16" s="16"/>
      <c r="J16" s="16"/>
      <c r="K16" s="16"/>
      <c r="L16" s="32"/>
    </row>
    <row r="17" spans="1:12" s="13" customFormat="1" ht="25.5" customHeight="1">
      <c r="A17" s="14"/>
      <c r="B17" s="15" t="s">
        <v>107</v>
      </c>
      <c r="C17" s="14" t="s">
        <v>103</v>
      </c>
      <c r="D17" s="61">
        <f>D18/D19/6*1000</f>
        <v>402422.8538616557</v>
      </c>
      <c r="E17" s="61">
        <f>E18/E19/6*1000</f>
        <v>415984.7912723312</v>
      </c>
      <c r="F17" s="63">
        <f>F18/F19/12</f>
        <v>409.20382256699344</v>
      </c>
      <c r="G17" s="71">
        <v>405131.6</v>
      </c>
      <c r="H17" s="71">
        <v>405131.6</v>
      </c>
      <c r="I17" s="63">
        <f>I18/I19/12</f>
        <v>439.93955094991367</v>
      </c>
      <c r="J17" s="76">
        <f>H17</f>
        <v>405131.6</v>
      </c>
      <c r="K17" s="61">
        <f>K18/K19/6*1000</f>
        <v>653840.4145077722</v>
      </c>
      <c r="L17" s="61">
        <f>L18/L19/12*1000</f>
        <v>534196.8911917098</v>
      </c>
    </row>
    <row r="18" spans="1:12" s="13" customFormat="1" ht="25.5" customHeight="1" hidden="1" outlineLevel="1">
      <c r="A18" s="14"/>
      <c r="B18" s="15" t="s">
        <v>168</v>
      </c>
      <c r="C18" s="14"/>
      <c r="D18" s="60">
        <f>D26</f>
        <v>3694.2417984499994</v>
      </c>
      <c r="E18" s="60">
        <f>E26</f>
        <v>3818.7403838800005</v>
      </c>
      <c r="F18" s="60">
        <f>E18+D18</f>
        <v>7512.98218233</v>
      </c>
      <c r="G18" s="60">
        <f>G26</f>
        <v>5298.28</v>
      </c>
      <c r="H18" s="60">
        <f>H26</f>
        <v>4890.719999999999</v>
      </c>
      <c r="I18" s="60">
        <f>H18+G18</f>
        <v>10189</v>
      </c>
      <c r="J18" s="60">
        <f>J26</f>
        <v>4800.527999999999</v>
      </c>
      <c r="K18" s="60">
        <f>K26</f>
        <v>7571.472000000001</v>
      </c>
      <c r="L18" s="62">
        <f>K18+J18</f>
        <v>12372</v>
      </c>
    </row>
    <row r="19" spans="1:12" s="13" customFormat="1" ht="25.5" customHeight="1" hidden="1" outlineLevel="1">
      <c r="A19" s="14"/>
      <c r="B19" s="15" t="s">
        <v>169</v>
      </c>
      <c r="C19" s="14"/>
      <c r="D19" s="52">
        <f>'передача Самусь'!D19</f>
        <v>1.53</v>
      </c>
      <c r="E19" s="52">
        <f>D19</f>
        <v>1.53</v>
      </c>
      <c r="F19" s="52">
        <f>E19</f>
        <v>1.53</v>
      </c>
      <c r="G19" s="52">
        <f>'передача Самусь'!E19</f>
        <v>1.93</v>
      </c>
      <c r="H19" s="52">
        <f>G19</f>
        <v>1.93</v>
      </c>
      <c r="I19" s="52">
        <f>H19</f>
        <v>1.93</v>
      </c>
      <c r="J19" s="52">
        <f>'передача Самусь'!F19</f>
        <v>1.93</v>
      </c>
      <c r="K19" s="52">
        <f>J19</f>
        <v>1.93</v>
      </c>
      <c r="L19" s="51">
        <f>K19</f>
        <v>1.93</v>
      </c>
    </row>
    <row r="20" spans="1:12" s="13" customFormat="1" ht="38.25" customHeight="1" collapsed="1">
      <c r="A20" s="14"/>
      <c r="B20" s="15" t="s">
        <v>108</v>
      </c>
      <c r="C20" s="14" t="s">
        <v>104</v>
      </c>
      <c r="D20" s="51">
        <f>D21/D22*1000</f>
        <v>345.571117934599</v>
      </c>
      <c r="E20" s="51">
        <f>E21/E22*1000</f>
        <v>335.4564725964312</v>
      </c>
      <c r="F20" s="51">
        <f>F21/F22</f>
        <v>0.34097336806915496</v>
      </c>
      <c r="G20" s="65">
        <v>101.3</v>
      </c>
      <c r="H20" s="65">
        <v>101.3</v>
      </c>
      <c r="I20" s="52"/>
      <c r="J20" s="52">
        <f>H20</f>
        <v>101.3</v>
      </c>
      <c r="K20" s="65">
        <f>J20*1.05</f>
        <v>106.365</v>
      </c>
      <c r="L20" s="32"/>
    </row>
    <row r="21" spans="1:12" s="13" customFormat="1" ht="38.25" customHeight="1" hidden="1" outlineLevel="1">
      <c r="A21" s="14"/>
      <c r="B21" s="15" t="s">
        <v>168</v>
      </c>
      <c r="C21" s="14"/>
      <c r="D21" s="56">
        <f>3412.52895802</f>
        <v>3412.52895802</v>
      </c>
      <c r="E21" s="56">
        <v>2760.74102</v>
      </c>
      <c r="F21" s="54">
        <f>E21+D21</f>
        <v>6173.26997802</v>
      </c>
      <c r="G21" s="54">
        <f>G22*G20</f>
        <v>948168</v>
      </c>
      <c r="H21" s="54">
        <f>H22*H20</f>
        <v>875232</v>
      </c>
      <c r="I21" s="54">
        <f>H21+G21</f>
        <v>1823400</v>
      </c>
      <c r="J21" s="54">
        <f>J22*J20</f>
        <v>859024</v>
      </c>
      <c r="K21" s="54">
        <f>K22*K20</f>
        <v>832837.95</v>
      </c>
      <c r="L21" s="54">
        <f>K21+J21</f>
        <v>1691861.95</v>
      </c>
    </row>
    <row r="22" spans="1:12" s="13" customFormat="1" ht="38.25" customHeight="1" hidden="1" outlineLevel="1">
      <c r="A22" s="14"/>
      <c r="B22" s="15" t="s">
        <v>169</v>
      </c>
      <c r="C22" s="14"/>
      <c r="D22" s="55">
        <f>D27</f>
        <v>9875.041</v>
      </c>
      <c r="E22" s="55">
        <f>E27</f>
        <v>8229.804</v>
      </c>
      <c r="F22" s="54">
        <f>E22+D22</f>
        <v>18104.845</v>
      </c>
      <c r="G22" s="55">
        <f>G27</f>
        <v>9360</v>
      </c>
      <c r="H22" s="55">
        <f>H27</f>
        <v>8640</v>
      </c>
      <c r="I22" s="54">
        <f>H22+G22</f>
        <v>18000</v>
      </c>
      <c r="J22" s="55">
        <f>J27</f>
        <v>8480</v>
      </c>
      <c r="K22" s="55">
        <f>K27</f>
        <v>7830</v>
      </c>
      <c r="L22" s="54">
        <f>K22+J22</f>
        <v>16310</v>
      </c>
    </row>
    <row r="23" spans="1:12" s="13" customFormat="1" ht="25.5" customHeight="1" collapsed="1">
      <c r="A23" s="14"/>
      <c r="B23" s="15" t="s">
        <v>109</v>
      </c>
      <c r="C23" s="14" t="s">
        <v>104</v>
      </c>
      <c r="D23" s="77">
        <v>719.67</v>
      </c>
      <c r="E23" s="77">
        <v>799.47</v>
      </c>
      <c r="F23" s="74">
        <f>F24/F27*1000</f>
        <v>755.9441773928469</v>
      </c>
      <c r="G23" s="77">
        <v>667.4</v>
      </c>
      <c r="H23" s="77">
        <v>667.4</v>
      </c>
      <c r="I23" s="74">
        <f>I24/I27*1000</f>
        <v>667.4</v>
      </c>
      <c r="J23" s="74">
        <f>H23</f>
        <v>667.4</v>
      </c>
      <c r="K23" s="72">
        <v>1073.3473754789272</v>
      </c>
      <c r="L23" s="55">
        <f>L24/L27*1000</f>
        <v>862.2846076026977</v>
      </c>
    </row>
    <row r="24" spans="1:12" s="13" customFormat="1" ht="25.5" customHeight="1" hidden="1" outlineLevel="1">
      <c r="A24" s="14"/>
      <c r="B24" s="15" t="s">
        <v>168</v>
      </c>
      <c r="C24" s="14"/>
      <c r="D24" s="54">
        <f>D27*D23/1000</f>
        <v>7106.7707564699995</v>
      </c>
      <c r="E24" s="54">
        <f>E27*E23/1000</f>
        <v>6579.4814038800005</v>
      </c>
      <c r="F24" s="54">
        <f>E24+D24</f>
        <v>13686.252160349999</v>
      </c>
      <c r="G24" s="54">
        <f>G23*G27/1000</f>
        <v>6246.864</v>
      </c>
      <c r="H24" s="54">
        <f>H23*H27/1000</f>
        <v>5766.336</v>
      </c>
      <c r="I24" s="54">
        <f>H24+G24</f>
        <v>12013.2</v>
      </c>
      <c r="J24" s="54">
        <f>J23*J27/1000</f>
        <v>5659.552</v>
      </c>
      <c r="K24" s="54">
        <f>K23*K27/1000</f>
        <v>8404.30995</v>
      </c>
      <c r="L24" s="54">
        <f>K24+J24</f>
        <v>14063.86195</v>
      </c>
    </row>
    <row r="25" spans="1:12" s="13" customFormat="1" ht="25.5" customHeight="1" hidden="1" outlineLevel="1">
      <c r="A25" s="14"/>
      <c r="B25" s="15" t="s">
        <v>185</v>
      </c>
      <c r="C25" s="14"/>
      <c r="D25" s="54">
        <f>D21</f>
        <v>3412.52895802</v>
      </c>
      <c r="E25" s="54">
        <f>E21</f>
        <v>2760.74102</v>
      </c>
      <c r="F25" s="54">
        <f>E25+D25</f>
        <v>6173.26997802</v>
      </c>
      <c r="G25" s="54">
        <f>G24/I24*I25</f>
        <v>948.5840000000002</v>
      </c>
      <c r="H25" s="54">
        <f>I25-G25</f>
        <v>875.6160000000006</v>
      </c>
      <c r="I25" s="56">
        <f>I24-10189</f>
        <v>1824.2000000000007</v>
      </c>
      <c r="J25" s="54">
        <f>J21/1000</f>
        <v>859.024</v>
      </c>
      <c r="K25" s="54">
        <f>K21/1000</f>
        <v>832.83795</v>
      </c>
      <c r="L25" s="54">
        <f>K25+J25</f>
        <v>1691.86195</v>
      </c>
    </row>
    <row r="26" spans="1:12" s="13" customFormat="1" ht="25.5" customHeight="1" hidden="1" outlineLevel="1">
      <c r="A26" s="14"/>
      <c r="B26" s="15" t="s">
        <v>186</v>
      </c>
      <c r="C26" s="14"/>
      <c r="D26" s="54">
        <f>D24-D25</f>
        <v>3694.2417984499994</v>
      </c>
      <c r="E26" s="54">
        <f>E24-E25</f>
        <v>3818.7403838800005</v>
      </c>
      <c r="F26" s="54">
        <f>E26+D26</f>
        <v>7512.98218233</v>
      </c>
      <c r="G26" s="54">
        <f aca="true" t="shared" si="0" ref="G26:L26">G24-G25</f>
        <v>5298.28</v>
      </c>
      <c r="H26" s="54">
        <f t="shared" si="0"/>
        <v>4890.719999999999</v>
      </c>
      <c r="I26" s="54">
        <f t="shared" si="0"/>
        <v>10189</v>
      </c>
      <c r="J26" s="54">
        <f>J24-J25</f>
        <v>4800.527999999999</v>
      </c>
      <c r="K26" s="54">
        <f t="shared" si="0"/>
        <v>7571.472000000001</v>
      </c>
      <c r="L26" s="57">
        <f t="shared" si="0"/>
        <v>12372</v>
      </c>
    </row>
    <row r="27" spans="1:13" s="13" customFormat="1" ht="25.5" customHeight="1" hidden="1" outlineLevel="1">
      <c r="A27" s="14"/>
      <c r="B27" s="15" t="s">
        <v>169</v>
      </c>
      <c r="C27" s="14"/>
      <c r="D27" s="56">
        <v>9875.041</v>
      </c>
      <c r="E27" s="56">
        <v>8229.804</v>
      </c>
      <c r="F27" s="54">
        <f>E27+D27</f>
        <v>18104.845</v>
      </c>
      <c r="G27" s="56">
        <v>9360</v>
      </c>
      <c r="H27" s="54">
        <f>I27-G27</f>
        <v>8640</v>
      </c>
      <c r="I27" s="56">
        <v>18000</v>
      </c>
      <c r="J27" s="56">
        <v>8480</v>
      </c>
      <c r="K27" s="58">
        <f>L27-J27</f>
        <v>7830</v>
      </c>
      <c r="L27" s="59">
        <v>16310</v>
      </c>
      <c r="M27" s="13" t="s">
        <v>184</v>
      </c>
    </row>
    <row r="28" spans="1:12" s="13" customFormat="1" ht="40.5" customHeight="1" collapsed="1">
      <c r="A28" s="14" t="s">
        <v>13</v>
      </c>
      <c r="B28" s="15" t="s">
        <v>110</v>
      </c>
      <c r="C28" s="14" t="s">
        <v>104</v>
      </c>
      <c r="D28" s="16"/>
      <c r="E28" s="16"/>
      <c r="F28" s="16"/>
      <c r="G28" s="16"/>
      <c r="H28" s="16"/>
      <c r="I28" s="16"/>
      <c r="J28" s="16"/>
      <c r="K28" s="16"/>
      <c r="L28" s="32"/>
    </row>
    <row r="29" spans="1:12" s="13" customFormat="1" ht="25.5" customHeight="1" hidden="1" outlineLevel="1">
      <c r="A29" s="14" t="s">
        <v>17</v>
      </c>
      <c r="B29" s="15" t="s">
        <v>111</v>
      </c>
      <c r="C29" s="14"/>
      <c r="D29" s="16"/>
      <c r="E29" s="16"/>
      <c r="F29" s="16"/>
      <c r="G29" s="16"/>
      <c r="H29" s="16"/>
      <c r="I29" s="16"/>
      <c r="J29" s="16"/>
      <c r="K29" s="16"/>
      <c r="L29" s="32"/>
    </row>
    <row r="30" spans="1:12" s="13" customFormat="1" ht="54" customHeight="1" hidden="1" outlineLevel="1">
      <c r="A30" s="14" t="s">
        <v>18</v>
      </c>
      <c r="B30" s="15" t="s">
        <v>112</v>
      </c>
      <c r="C30" s="14" t="s">
        <v>104</v>
      </c>
      <c r="D30" s="16"/>
      <c r="E30" s="16"/>
      <c r="F30" s="16"/>
      <c r="G30" s="16"/>
      <c r="H30" s="16"/>
      <c r="I30" s="16"/>
      <c r="J30" s="16"/>
      <c r="K30" s="16"/>
      <c r="L30" s="32"/>
    </row>
    <row r="31" spans="1:12" s="13" customFormat="1" ht="66.75" customHeight="1" hidden="1" outlineLevel="1">
      <c r="A31" s="14" t="s">
        <v>20</v>
      </c>
      <c r="B31" s="15" t="s">
        <v>113</v>
      </c>
      <c r="C31" s="14" t="s">
        <v>104</v>
      </c>
      <c r="D31" s="16"/>
      <c r="E31" s="16"/>
      <c r="F31" s="16"/>
      <c r="G31" s="16"/>
      <c r="H31" s="16"/>
      <c r="I31" s="16"/>
      <c r="J31" s="16"/>
      <c r="K31" s="16"/>
      <c r="L31" s="32"/>
    </row>
    <row r="32" spans="1:12" s="13" customFormat="1" ht="27" customHeight="1" hidden="1" outlineLevel="1">
      <c r="A32" s="14" t="s">
        <v>22</v>
      </c>
      <c r="B32" s="15" t="s">
        <v>114</v>
      </c>
      <c r="C32" s="14" t="s">
        <v>16</v>
      </c>
      <c r="D32" s="16"/>
      <c r="E32" s="16"/>
      <c r="F32" s="16"/>
      <c r="G32" s="16"/>
      <c r="H32" s="16"/>
      <c r="I32" s="16"/>
      <c r="J32" s="16"/>
      <c r="K32" s="16"/>
      <c r="L32" s="32"/>
    </row>
    <row r="33" spans="1:12" s="13" customFormat="1" ht="27" customHeight="1" hidden="1" outlineLevel="1">
      <c r="A33" s="14"/>
      <c r="B33" s="15" t="s">
        <v>115</v>
      </c>
      <c r="C33" s="14" t="s">
        <v>16</v>
      </c>
      <c r="D33" s="16"/>
      <c r="E33" s="16"/>
      <c r="F33" s="16"/>
      <c r="G33" s="16"/>
      <c r="H33" s="16"/>
      <c r="I33" s="16"/>
      <c r="J33" s="16"/>
      <c r="K33" s="16"/>
      <c r="L33" s="32"/>
    </row>
    <row r="34" spans="1:12" s="13" customFormat="1" ht="27" customHeight="1" hidden="1" outlineLevel="1">
      <c r="A34" s="14"/>
      <c r="B34" s="15" t="s">
        <v>116</v>
      </c>
      <c r="C34" s="14" t="s">
        <v>16</v>
      </c>
      <c r="D34" s="16"/>
      <c r="E34" s="16"/>
      <c r="F34" s="16"/>
      <c r="G34" s="16"/>
      <c r="H34" s="16"/>
      <c r="I34" s="16"/>
      <c r="J34" s="16"/>
      <c r="K34" s="16"/>
      <c r="L34" s="32"/>
    </row>
    <row r="35" spans="1:12" s="13" customFormat="1" ht="27" customHeight="1" hidden="1" outlineLevel="1">
      <c r="A35" s="14"/>
      <c r="B35" s="15" t="s">
        <v>117</v>
      </c>
      <c r="C35" s="14" t="s">
        <v>16</v>
      </c>
      <c r="D35" s="16"/>
      <c r="E35" s="16"/>
      <c r="F35" s="16"/>
      <c r="G35" s="16"/>
      <c r="H35" s="16"/>
      <c r="I35" s="16"/>
      <c r="J35" s="16"/>
      <c r="K35" s="16"/>
      <c r="L35" s="32"/>
    </row>
    <row r="36" spans="1:12" s="13" customFormat="1" ht="27" customHeight="1" hidden="1" outlineLevel="1">
      <c r="A36" s="14"/>
      <c r="B36" s="15" t="s">
        <v>118</v>
      </c>
      <c r="C36" s="14" t="s">
        <v>16</v>
      </c>
      <c r="D36" s="16"/>
      <c r="E36" s="16"/>
      <c r="F36" s="16"/>
      <c r="G36" s="16"/>
      <c r="H36" s="16"/>
      <c r="I36" s="16"/>
      <c r="J36" s="16"/>
      <c r="K36" s="16"/>
      <c r="L36" s="32"/>
    </row>
    <row r="37" spans="1:12" s="13" customFormat="1" ht="27" customHeight="1" hidden="1" outlineLevel="1">
      <c r="A37" s="14" t="s">
        <v>28</v>
      </c>
      <c r="B37" s="15" t="s">
        <v>119</v>
      </c>
      <c r="C37" s="14" t="s">
        <v>16</v>
      </c>
      <c r="D37" s="16"/>
      <c r="E37" s="16"/>
      <c r="F37" s="16"/>
      <c r="G37" s="16"/>
      <c r="H37" s="16"/>
      <c r="I37" s="16"/>
      <c r="J37" s="16"/>
      <c r="K37" s="16"/>
      <c r="L37" s="32"/>
    </row>
    <row r="38" spans="1:12" s="13" customFormat="1" ht="27" customHeight="1" hidden="1" outlineLevel="1">
      <c r="A38" s="14" t="s">
        <v>30</v>
      </c>
      <c r="B38" s="15" t="s">
        <v>120</v>
      </c>
      <c r="C38" s="14" t="s">
        <v>121</v>
      </c>
      <c r="D38" s="16"/>
      <c r="E38" s="16"/>
      <c r="F38" s="16"/>
      <c r="G38" s="16"/>
      <c r="H38" s="16"/>
      <c r="I38" s="16"/>
      <c r="J38" s="16"/>
      <c r="K38" s="16"/>
      <c r="L38" s="32"/>
    </row>
    <row r="39" spans="1:12" s="13" customFormat="1" ht="27" customHeight="1" hidden="1" outlineLevel="1">
      <c r="A39" s="14"/>
      <c r="B39" s="15" t="s">
        <v>122</v>
      </c>
      <c r="C39" s="14" t="s">
        <v>121</v>
      </c>
      <c r="D39" s="16"/>
      <c r="E39" s="16"/>
      <c r="F39" s="16"/>
      <c r="G39" s="16"/>
      <c r="H39" s="16"/>
      <c r="I39" s="16"/>
      <c r="J39" s="16"/>
      <c r="K39" s="16"/>
      <c r="L39" s="32"/>
    </row>
    <row r="40" spans="1:12" s="13" customFormat="1" ht="27" customHeight="1" hidden="1" outlineLevel="1">
      <c r="A40" s="14" t="s">
        <v>34</v>
      </c>
      <c r="B40" s="15" t="s">
        <v>123</v>
      </c>
      <c r="C40" s="14" t="s">
        <v>103</v>
      </c>
      <c r="D40" s="16"/>
      <c r="E40" s="16"/>
      <c r="F40" s="16"/>
      <c r="G40" s="16"/>
      <c r="H40" s="16"/>
      <c r="I40" s="16"/>
      <c r="J40" s="16"/>
      <c r="K40" s="16"/>
      <c r="L40" s="32"/>
    </row>
    <row r="41" spans="1:12" s="13" customFormat="1" ht="40.5" customHeight="1" hidden="1" outlineLevel="1">
      <c r="A41" s="14" t="s">
        <v>35</v>
      </c>
      <c r="B41" s="15" t="s">
        <v>124</v>
      </c>
      <c r="C41" s="14" t="s">
        <v>125</v>
      </c>
      <c r="D41" s="16"/>
      <c r="E41" s="16"/>
      <c r="F41" s="16"/>
      <c r="G41" s="16"/>
      <c r="H41" s="16"/>
      <c r="I41" s="16"/>
      <c r="J41" s="16"/>
      <c r="K41" s="16"/>
      <c r="L41" s="32"/>
    </row>
    <row r="42" spans="1:12" s="13" customFormat="1" ht="27" customHeight="1" hidden="1" outlineLevel="1">
      <c r="A42" s="14" t="s">
        <v>126</v>
      </c>
      <c r="B42" s="15" t="s">
        <v>127</v>
      </c>
      <c r="C42" s="14" t="s">
        <v>125</v>
      </c>
      <c r="D42" s="16"/>
      <c r="E42" s="16"/>
      <c r="F42" s="16"/>
      <c r="G42" s="16"/>
      <c r="H42" s="16"/>
      <c r="I42" s="16"/>
      <c r="J42" s="16"/>
      <c r="K42" s="16"/>
      <c r="L42" s="32"/>
    </row>
    <row r="43" spans="1:12" s="13" customFormat="1" ht="27" customHeight="1" hidden="1" outlineLevel="1">
      <c r="A43" s="14" t="s">
        <v>128</v>
      </c>
      <c r="B43" s="15" t="s">
        <v>129</v>
      </c>
      <c r="C43" s="14" t="s">
        <v>125</v>
      </c>
      <c r="D43" s="16"/>
      <c r="E43" s="16"/>
      <c r="F43" s="16"/>
      <c r="G43" s="16"/>
      <c r="H43" s="16"/>
      <c r="I43" s="16"/>
      <c r="J43" s="16"/>
      <c r="K43" s="16"/>
      <c r="L43" s="32"/>
    </row>
    <row r="44" spans="1:12" s="13" customFormat="1" ht="27" customHeight="1" hidden="1" outlineLevel="1">
      <c r="A44" s="14"/>
      <c r="B44" s="15" t="s">
        <v>142</v>
      </c>
      <c r="C44" s="14" t="s">
        <v>125</v>
      </c>
      <c r="D44" s="16"/>
      <c r="E44" s="16"/>
      <c r="F44" s="16"/>
      <c r="G44" s="16"/>
      <c r="H44" s="16"/>
      <c r="I44" s="16"/>
      <c r="J44" s="16"/>
      <c r="K44" s="16"/>
      <c r="L44" s="32"/>
    </row>
    <row r="45" spans="1:12" s="13" customFormat="1" ht="27" customHeight="1" hidden="1" outlineLevel="1">
      <c r="A45" s="14"/>
      <c r="B45" s="15" t="s">
        <v>143</v>
      </c>
      <c r="C45" s="14" t="s">
        <v>125</v>
      </c>
      <c r="D45" s="16"/>
      <c r="E45" s="16"/>
      <c r="F45" s="16"/>
      <c r="G45" s="16"/>
      <c r="H45" s="16"/>
      <c r="I45" s="16"/>
      <c r="J45" s="16"/>
      <c r="K45" s="16"/>
      <c r="L45" s="32"/>
    </row>
    <row r="46" spans="1:12" s="13" customFormat="1" ht="27" customHeight="1" hidden="1" outlineLevel="1">
      <c r="A46" s="14"/>
      <c r="B46" s="15" t="s">
        <v>144</v>
      </c>
      <c r="C46" s="14" t="s">
        <v>125</v>
      </c>
      <c r="D46" s="16"/>
      <c r="E46" s="16"/>
      <c r="F46" s="16"/>
      <c r="G46" s="16"/>
      <c r="H46" s="16"/>
      <c r="I46" s="16"/>
      <c r="J46" s="16"/>
      <c r="K46" s="16"/>
      <c r="L46" s="32"/>
    </row>
    <row r="47" spans="1:12" s="13" customFormat="1" ht="27" customHeight="1" hidden="1" outlineLevel="1">
      <c r="A47" s="14"/>
      <c r="B47" s="15" t="s">
        <v>145</v>
      </c>
      <c r="C47" s="14" t="s">
        <v>125</v>
      </c>
      <c r="D47" s="16"/>
      <c r="E47" s="16"/>
      <c r="F47" s="16"/>
      <c r="G47" s="16"/>
      <c r="H47" s="16"/>
      <c r="I47" s="16"/>
      <c r="J47" s="16"/>
      <c r="K47" s="16"/>
      <c r="L47" s="32"/>
    </row>
    <row r="48" spans="1:12" s="13" customFormat="1" ht="27" customHeight="1" hidden="1" outlineLevel="1">
      <c r="A48" s="14" t="s">
        <v>130</v>
      </c>
      <c r="B48" s="15" t="s">
        <v>131</v>
      </c>
      <c r="C48" s="14" t="s">
        <v>125</v>
      </c>
      <c r="D48" s="16"/>
      <c r="E48" s="16"/>
      <c r="F48" s="16"/>
      <c r="G48" s="16"/>
      <c r="H48" s="16"/>
      <c r="I48" s="16"/>
      <c r="J48" s="16"/>
      <c r="K48" s="16"/>
      <c r="L48" s="32"/>
    </row>
    <row r="49" spans="1:12" s="13" customFormat="1" ht="27" customHeight="1" hidden="1" outlineLevel="1">
      <c r="A49" s="14" t="s">
        <v>36</v>
      </c>
      <c r="B49" s="15" t="s">
        <v>132</v>
      </c>
      <c r="C49" s="14"/>
      <c r="D49" s="16"/>
      <c r="E49" s="16"/>
      <c r="F49" s="16"/>
      <c r="G49" s="16"/>
      <c r="H49" s="16"/>
      <c r="I49" s="16"/>
      <c r="J49" s="16"/>
      <c r="K49" s="16"/>
      <c r="L49" s="32"/>
    </row>
    <row r="50" spans="1:12" s="13" customFormat="1" ht="27" customHeight="1" hidden="1" outlineLevel="1">
      <c r="A50" s="14" t="s">
        <v>37</v>
      </c>
      <c r="B50" s="15" t="s">
        <v>133</v>
      </c>
      <c r="C50" s="14" t="s">
        <v>134</v>
      </c>
      <c r="D50" s="16"/>
      <c r="E50" s="16"/>
      <c r="F50" s="16"/>
      <c r="G50" s="16"/>
      <c r="H50" s="16"/>
      <c r="I50" s="16"/>
      <c r="J50" s="16"/>
      <c r="K50" s="16"/>
      <c r="L50" s="32"/>
    </row>
    <row r="51" spans="1:12" s="13" customFormat="1" ht="27" customHeight="1" hidden="1" outlineLevel="1">
      <c r="A51" s="14" t="s">
        <v>135</v>
      </c>
      <c r="B51" s="15" t="s">
        <v>136</v>
      </c>
      <c r="C51" s="14" t="s">
        <v>125</v>
      </c>
      <c r="D51" s="16"/>
      <c r="E51" s="16"/>
      <c r="F51" s="16"/>
      <c r="G51" s="16"/>
      <c r="H51" s="16"/>
      <c r="I51" s="16"/>
      <c r="J51" s="16"/>
      <c r="K51" s="16"/>
      <c r="L51" s="32"/>
    </row>
    <row r="52" spans="1:12" s="13" customFormat="1" ht="27" customHeight="1" hidden="1" outlineLevel="1">
      <c r="A52" s="14" t="s">
        <v>137</v>
      </c>
      <c r="B52" s="15" t="s">
        <v>138</v>
      </c>
      <c r="C52" s="14" t="s">
        <v>139</v>
      </c>
      <c r="D52" s="16"/>
      <c r="E52" s="16"/>
      <c r="F52" s="16"/>
      <c r="G52" s="16"/>
      <c r="H52" s="16"/>
      <c r="I52" s="16"/>
      <c r="J52" s="16"/>
      <c r="K52" s="16"/>
      <c r="L52" s="32"/>
    </row>
    <row r="53" spans="1:12" s="13" customFormat="1" ht="27" customHeight="1" hidden="1" outlineLevel="1">
      <c r="A53" s="14"/>
      <c r="B53" s="15" t="s">
        <v>140</v>
      </c>
      <c r="C53" s="14" t="s">
        <v>139</v>
      </c>
      <c r="D53" s="16"/>
      <c r="E53" s="16"/>
      <c r="F53" s="16"/>
      <c r="G53" s="16"/>
      <c r="H53" s="16"/>
      <c r="I53" s="16"/>
      <c r="J53" s="16"/>
      <c r="K53" s="16"/>
      <c r="L53" s="32"/>
    </row>
    <row r="54" spans="1:12" s="13" customFormat="1" ht="27" customHeight="1" hidden="1" outlineLevel="1">
      <c r="A54" s="14"/>
      <c r="B54" s="15" t="s">
        <v>141</v>
      </c>
      <c r="C54" s="14" t="s">
        <v>139</v>
      </c>
      <c r="D54" s="16"/>
      <c r="E54" s="16"/>
      <c r="F54" s="16"/>
      <c r="G54" s="16"/>
      <c r="H54" s="16"/>
      <c r="I54" s="16"/>
      <c r="J54" s="16"/>
      <c r="K54" s="16"/>
      <c r="L54" s="32"/>
    </row>
    <row r="55" s="7" customFormat="1" ht="17.25" customHeight="1" collapsed="1">
      <c r="A55" s="6" t="s">
        <v>146</v>
      </c>
    </row>
  </sheetData>
  <sheetProtection password="CF5C" sheet="1" objects="1" scenarios="1"/>
  <mergeCells count="11">
    <mergeCell ref="D10:E10"/>
    <mergeCell ref="G10:H10"/>
    <mergeCell ref="J10:K10"/>
    <mergeCell ref="G8:H8"/>
    <mergeCell ref="J8:K8"/>
    <mergeCell ref="A5:K5"/>
    <mergeCell ref="H1:K1"/>
    <mergeCell ref="A8:A9"/>
    <mergeCell ref="B8:B9"/>
    <mergeCell ref="C8:C9"/>
    <mergeCell ref="D8:E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portrait" paperSize="9" scale="54" r:id="rId1"/>
  <headerFooter alignWithMargins="0">
    <oddHeader>&amp;R&amp;"Times New Roman,обычный"&amp;7
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Kopylova</cp:lastModifiedBy>
  <cp:lastPrinted>2014-09-15T05:00:51Z</cp:lastPrinted>
  <dcterms:created xsi:type="dcterms:W3CDTF">2014-08-15T10:06:32Z</dcterms:created>
  <dcterms:modified xsi:type="dcterms:W3CDTF">2014-09-15T05:03:48Z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